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120" windowWidth="15480" windowHeight="11640" tabRatio="690" activeTab="4"/>
  </bookViews>
  <sheets>
    <sheet name="Enero" sheetId="1" r:id="rId1"/>
    <sheet name="Febrero" sheetId="6" r:id="rId2"/>
    <sheet name="Marzo" sheetId="7" r:id="rId3"/>
    <sheet name="Abril" sheetId="8" r:id="rId4"/>
    <sheet name="Mayo" sheetId="9" r:id="rId5"/>
    <sheet name="Junio" sheetId="10" r:id="rId6"/>
    <sheet name="Julio" sheetId="11" r:id="rId7"/>
    <sheet name="Agosto" sheetId="12" r:id="rId8"/>
    <sheet name="Septiembre" sheetId="13" r:id="rId9"/>
    <sheet name="Octubre" sheetId="14" r:id="rId10"/>
    <sheet name="Noviembre" sheetId="15" r:id="rId11"/>
    <sheet name="Diciembre" sheetId="16" r:id="rId12"/>
  </sheets>
  <definedNames>
    <definedName name="AbrDom1">DATE(Año_Calendario,4,1)-WEEKDAY(DATE(Año_Calendario,4,1))+1</definedName>
    <definedName name="AgoDom1">DATE(Año_Calendario,8,1)-WEEKDAY(DATE(Año_Calendario,8,1))+1</definedName>
    <definedName name="Año_Calendario">Enero!$N$2</definedName>
    <definedName name="_xlnm.Print_Area" localSheetId="3">Abril!$A$1:$M$50</definedName>
    <definedName name="_xlnm.Print_Area" localSheetId="7">Agosto!$A$1:$M$50</definedName>
    <definedName name="_xlnm.Print_Area" localSheetId="11">Diciembre!$A$1:$M$50</definedName>
    <definedName name="_xlnm.Print_Area" localSheetId="0">Enero!$A$1:$S$50</definedName>
    <definedName name="_xlnm.Print_Area" localSheetId="1">Febrero!$A$1:$M$50</definedName>
    <definedName name="_xlnm.Print_Area" localSheetId="6">Julio!$A$1:$M$50</definedName>
    <definedName name="_xlnm.Print_Area" localSheetId="5">Junio!$A$1:$M$50</definedName>
    <definedName name="_xlnm.Print_Area" localSheetId="2">Marzo!$A$1:$M$50</definedName>
    <definedName name="_xlnm.Print_Area" localSheetId="4">Mayo!$A$1:$M$50</definedName>
    <definedName name="_xlnm.Print_Area" localSheetId="10">Noviembre!$A$1:$M$50</definedName>
    <definedName name="_xlnm.Print_Area" localSheetId="9">Octubre!$A$1:$M$50</definedName>
    <definedName name="_xlnm.Print_Area" localSheetId="8">Septiembre!$A$1:$M$50</definedName>
    <definedName name="DíasDeTareas" localSheetId="3">Abril!$L$4:$L$33</definedName>
    <definedName name="DíasDeTareas" localSheetId="7">Agosto!$L$4:$L$33</definedName>
    <definedName name="DíasDeTareas" localSheetId="11">Diciembre!$L$4:$L$33</definedName>
    <definedName name="DíasDeTareas" localSheetId="1">Febrero!$L$4:$L$33</definedName>
    <definedName name="DíasDeTareas" localSheetId="6">Julio!$L$4:$L$33</definedName>
    <definedName name="DíasDeTareas" localSheetId="5">Junio!$L$4:$L$33</definedName>
    <definedName name="DíasDeTareas" localSheetId="2">Marzo!$L$4:$L$33</definedName>
    <definedName name="DíasDeTareas" localSheetId="4">Mayo!$L$4:$L$33</definedName>
    <definedName name="DíasDeTareas" localSheetId="10">Noviembre!$L$4:$L$33</definedName>
    <definedName name="DíasDeTareas" localSheetId="9">Octubre!$L$4:$L$33</definedName>
    <definedName name="DíasDeTareas" localSheetId="8">Septiembre!$L$4:$L$33</definedName>
    <definedName name="DíasDeTareas">Enero!$L$4:$L$33</definedName>
    <definedName name="DicDom1">DATE(Año_Calendario,12,1)-WEEKDAY(DATE(Año_Calendario,12,1))+1</definedName>
    <definedName name="FebDom1">DATE(Año_Calendario,2,1)-WEEKDAY(DATE(Año_Calendario,2,1))+1</definedName>
    <definedName name="JanSun1">DATE(Año_Calendario,1,1)-WEEKDAY(DATE(Año_Calendario,1,1))+1</definedName>
    <definedName name="JulDom1">DATE(Año_Calendario,7,1)-WEEKDAY(DATE(Año_Calendario,7,1))+1</definedName>
    <definedName name="JunDom1">DATE(Año_Calendario,6,1)-WEEKDAY(DATE(Año_Calendario,6,1))+1</definedName>
    <definedName name="MarDom1">DATE(Año_Calendario,3,1)-WEEKDAY(DATE(Año_Calendario,3,1))+1</definedName>
    <definedName name="MayDom1">DATE(Año_Calendario,5,1)-WEEKDAY(DATE(Año_Calendario,5,1))+1</definedName>
    <definedName name="NovDom1">DATE(Año_Calendario,11,1)-WEEKDAY(DATE(Año_Calendario,11,1))+1</definedName>
    <definedName name="OctDom1">DATE(Año_Calendario,10,1)-WEEKDAY(DATE(Año_Calendario,10,1))+1</definedName>
    <definedName name="SepDom1">DATE(Año_Calendario,9,1)-WEEKDAY(DATE(Año_Calendario,9,1))+1</definedName>
    <definedName name="TablaFechasImportantes" localSheetId="3">Abril!$L$4:$M$8</definedName>
    <definedName name="TablaFechasImportantes" localSheetId="7">Agosto!$L$4:$M$8</definedName>
    <definedName name="TablaFechasImportantes" localSheetId="11">Diciembre!$L$4:$M$8</definedName>
    <definedName name="TablaFechasImportantes" localSheetId="1">Febrero!$L$4:$M$8</definedName>
    <definedName name="TablaFechasImportantes" localSheetId="6">Julio!$L$4:$M$8</definedName>
    <definedName name="TablaFechasImportantes" localSheetId="5">Junio!$L$4:$M$8</definedName>
    <definedName name="TablaFechasImportantes" localSheetId="2">Marzo!$L$4:$M$8</definedName>
    <definedName name="TablaFechasImportantes" localSheetId="4">Mayo!$L$4:$M$8</definedName>
    <definedName name="TablaFechasImportantes" localSheetId="10">Noviembre!$L$4:$M$8</definedName>
    <definedName name="TablaFechasImportantes" localSheetId="9">Octubre!$L$4:$M$8</definedName>
    <definedName name="TablaFechasImportantes" localSheetId="8">Septiembre!$L$4:$M$8</definedName>
    <definedName name="TablaFechasImportantes">Enero!$L$4:$M$8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8" l="1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 l="1"/>
  <c r="I9" i="1" l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<sst xmlns="http://schemas.openxmlformats.org/spreadsheetml/2006/main" count="299" uniqueCount="77">
  <si>
    <t>S</t>
  </si>
  <si>
    <t>M</t>
  </si>
  <si>
    <t>TAREAS</t>
  </si>
  <si>
    <t>ENERO</t>
  </si>
  <si>
    <t>L</t>
  </si>
  <si>
    <t>X</t>
  </si>
  <si>
    <t>J</t>
  </si>
  <si>
    <t>V</t>
  </si>
  <si>
    <t>D</t>
  </si>
  <si>
    <t>DICIEMBRE</t>
  </si>
  <si>
    <t>HORARIO SEMANAL</t>
  </si>
  <si>
    <t>LUN</t>
  </si>
  <si>
    <t>MAR</t>
  </si>
  <si>
    <t>MIÉ</t>
  </si>
  <si>
    <t>JUE</t>
  </si>
  <si>
    <t>VIE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</si>
  <si>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</si>
  <si>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</si>
  <si>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</si>
  <si>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</si>
  <si>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</si>
  <si>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</si>
  <si>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</si>
  <si>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</si>
  <si>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</si>
  <si>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</si>
  <si>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Seguimiento a la respuesta de ITEI por  Recurso de transparencia y sus acumulados(Informe y pantalla de pagina).</t>
  </si>
  <si>
    <t>Elaboracion de la Respuesta a Oficio de los Regidores del dia 4 de Enero 2016</t>
  </si>
  <si>
    <t xml:space="preserve">Nota: Recepcion y tramites de solicitudes diarias </t>
  </si>
  <si>
    <t>|</t>
  </si>
  <si>
    <t xml:space="preserve">8 Diplomado de Transparencia 16:00 a 21:00 </t>
  </si>
  <si>
    <t xml:space="preserve">15 Diplomado de Transparencia 16:00 a 21:00 </t>
  </si>
  <si>
    <t xml:space="preserve"> 22 Diplomado de Transparencia 16:00 a 21:00 </t>
  </si>
  <si>
    <t xml:space="preserve">29  Diplomado de Transparencia 16:00 a 21:00 </t>
  </si>
  <si>
    <t>Diplomado de transparencia viernes  16:00 a 21:00 y sabados 9:00 a 14:00 de todo el mes</t>
  </si>
  <si>
    <t>Remitir al ITEI el Informe de Respuesta al cumplimiento del Recurso de Tranaprencia y sus Acumulados</t>
  </si>
  <si>
    <t>Elaboración de nuevas carpetas y procesos para el año 2016</t>
  </si>
  <si>
    <t>entrega de informe de RT al  ITEI con informacion fundamental de la pagina.</t>
  </si>
  <si>
    <t>E-R en Tecnologico, Remision de Solicitud  x ITEI y presentada en estrados de H Ayuntamiento</t>
  </si>
  <si>
    <t>Analisis de la Ley, para cambio en los procesos de Tranasparencia</t>
  </si>
  <si>
    <t xml:space="preserve">preparacion de documento para la primera sesion Ordinaria de Trans </t>
  </si>
  <si>
    <t>I Sesion Ord. Transp. Entrega de informe de enero ITEI, solicitud de capacitacional ITEI</t>
  </si>
  <si>
    <t>capacitacion a directores</t>
  </si>
  <si>
    <t>informe de enero al ITEI</t>
  </si>
  <si>
    <t xml:space="preserve">5 Diplomado de Transparencia 16:00 a 21:00 </t>
  </si>
  <si>
    <t xml:space="preserve">12 Diplomado de Transparencia 16:00 a 21:00 </t>
  </si>
  <si>
    <t xml:space="preserve">19 Diplomado de Transparencia 16:00 a 21:00 </t>
  </si>
  <si>
    <t xml:space="preserve">26 Diplomado de Transparencia 16:00 a 21:00 </t>
  </si>
  <si>
    <t>I S.E. X solicitud de Información</t>
  </si>
  <si>
    <t>III S.E por resolucion de solicitud</t>
  </si>
  <si>
    <t>II S.E. X Resolucion de solicitud de Infomación</t>
  </si>
  <si>
    <t>II S.O x Cambio de Comité conforme a Nva. Ley</t>
  </si>
  <si>
    <t>Entrega de necesidades de capacitacion a R-H</t>
  </si>
  <si>
    <t>Nombramiento como enlace y responsable de Programa Agenda para el desarrollo Municipal</t>
  </si>
  <si>
    <t>modificaciones a la propuesta de reglamento de Transparencia</t>
  </si>
  <si>
    <t>programacion de capacitacion para enlaces de transparencia</t>
  </si>
  <si>
    <t>capcaitacion a enlaces de Transparencia</t>
  </si>
  <si>
    <t xml:space="preserve">4 Diplomado de Transparencia 16:00 a 21:00 </t>
  </si>
  <si>
    <t xml:space="preserve">11 Diplomado de Transparencia 16:00 a 21:00 </t>
  </si>
  <si>
    <t>capacitacion Reformas a la Ley de Transparenica en Acatlan de Juarez</t>
  </si>
  <si>
    <t>capacitacion a directores en Agenda para el Desarrollo Municipal</t>
  </si>
  <si>
    <t>actualizacion de pagina con informacion de directores</t>
  </si>
  <si>
    <t>por suspension de terminos en el ITEI bajo acuerdo del 2 de marzo de 2016, sin embargo se deja guardia.</t>
  </si>
  <si>
    <t xml:space="preserve">Nota: Del 21 de marzo de 2016 al 1 de abril de 2016 el Titular de la Unidad estara de vacaciones </t>
  </si>
  <si>
    <t>se remite oficio de  obligacion de S.O al ITEI por no tener Sindicatos</t>
  </si>
  <si>
    <t>bitacora de control y transmision a terceros (Comité)</t>
  </si>
  <si>
    <t xml:space="preserve"> reunion con directores  para Agenda desde lo local</t>
  </si>
  <si>
    <t>ITEI  inauguracion de la plataforma nacional</t>
  </si>
  <si>
    <t>colaboracion de dia de la madres</t>
  </si>
  <si>
    <t>proyecto para dia del maestro (2 al 20 de mayo)</t>
  </si>
  <si>
    <t>evento del dia del maestro</t>
  </si>
  <si>
    <t>capacitacion de plataforma nacional en ITEI</t>
  </si>
  <si>
    <t>ITEI  convenio entre PRI Jalisco e ITEI, reunion de directores</t>
  </si>
  <si>
    <t>seminario de tranaparencia seminario Enfrentando las amenazas transnacionales en las Américas.</t>
  </si>
  <si>
    <t xml:space="preserve"> clausura de Diplomdo de Transparencia y protección de datos personales en el ámbito municipal</t>
  </si>
  <si>
    <t>Nota: Capacitacion para directores, jefes, delegados, encargados de area, agentes en materia</t>
  </si>
  <si>
    <t>transparencia en San Martin impartido por el ITEI, a nivel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</si>
</sst>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2" x14ac:knownFonts="1">
    <font>
      <sz val="10"/>
      <color theme="1"/>
      <name val="Arial"/>
      <family val="2"/>
      <scheme val="minor"/>
    </font>
    <font>
      <sz val="8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0"/>
      <color indexed="63"/>
      <name val="Arial"/>
      <family val="4"/>
      <scheme val="minor"/>
    </font>
    <font>
      <b/>
      <sz val="28"/>
      <color theme="1" tint="0.34998626667073579"/>
      <name val="Arial"/>
      <family val="2"/>
      <scheme val="minor"/>
    </font>
    <font>
      <sz val="10"/>
      <color theme="9" tint="-0.249977111117893"/>
      <name val="Arial"/>
      <family val="2"/>
      <scheme val="minor"/>
    </font>
    <font>
      <b/>
      <sz val="24"/>
      <color theme="9" tint="-0.249977111117893"/>
      <name val="Arial"/>
      <family val="2"/>
      <scheme val="major"/>
    </font>
    <font>
      <b/>
      <sz val="17"/>
      <color theme="9" tint="-0.249977111117893"/>
      <name val="Arial"/>
      <family val="2"/>
      <scheme val="major"/>
    </font>
    <font>
      <b/>
      <sz val="17"/>
      <color theme="9" tint="-0.249977111117893"/>
      <name val="Arial"/>
      <family val="2"/>
      <scheme val="minor"/>
    </font>
    <font>
      <sz val="10"/>
      <color theme="9" tint="-0.249977111117893"/>
      <name val="Arial"/>
      <family val="2"/>
      <scheme val="major"/>
    </font>
    <font>
      <sz val="10.5"/>
      <color theme="9" tint="-0.249977111117893"/>
      <name val="Arial"/>
      <family val="2"/>
      <scheme val="minor"/>
    </font>
    <font>
      <b/>
      <sz val="12"/>
      <color theme="9" tint="-0.249977111117893"/>
      <name val="Arial"/>
      <family val="2"/>
      <scheme val="major"/>
    </font>
    <font>
      <b/>
      <sz val="10"/>
      <color theme="9" tint="-0.249977111117893"/>
      <name val="Arial"/>
      <family val="2"/>
      <scheme val="minor"/>
    </font>
    <font>
      <b/>
      <sz val="10.5"/>
      <color theme="9" tint="-0.249977111117893"/>
      <name val="Arial"/>
      <family val="2"/>
      <scheme val="minor"/>
    </font>
    <font>
      <b/>
      <sz val="12"/>
      <color theme="9" tint="-0.249977111117893"/>
      <name val="Arial"/>
      <family val="2"/>
      <scheme val="minor"/>
    </font>
    <font>
      <b/>
      <sz val="8.5"/>
      <color theme="9" tint="-0.249977111117893"/>
      <name val="Arial"/>
      <family val="2"/>
      <scheme val="minor"/>
    </font>
    <font>
      <sz val="8.5"/>
      <color theme="9" tint="-0.249977111117893"/>
      <name val="Arial"/>
      <family val="2"/>
      <scheme val="minor"/>
    </font>
    <font>
      <b/>
      <sz val="8.5"/>
      <color theme="9" tint="-0.249977111117893"/>
      <name val="Arial"/>
      <family val="2"/>
      <scheme val="major"/>
    </font>
    <font>
      <sz val="12"/>
      <color theme="9" tint="-0.249977111117893"/>
      <name val="Arial"/>
      <family val="2"/>
      <scheme val="major"/>
    </font>
    <font>
      <sz val="12"/>
      <color theme="9" tint="-0.249977111117893"/>
      <name val="Arial"/>
      <family val="2"/>
      <scheme val="minor"/>
    </font>
    <font>
      <sz val="10.5"/>
      <color theme="7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5">
    <xf numFmtId="0" fontId="0" fillId="0" borderId="0"/>
    <xf numFmtId="0" fontId="3" fillId="0" borderId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5" fillId="0" borderId="0" applyNumberFormat="0" applyFill="0" applyAlignment="0" applyProtection="0"/>
  </cellStyleXfs>
  <cellXfs count="109">
    <xf numFmtId="0" fontId="0" fillId="0" borderId="0" xfId="0"/>
    <xf numFmtId="0" fontId="6" fillId="0" borderId="0" xfId="0" applyFont="1"/>
    <xf numFmtId="0" fontId="6" fillId="0" borderId="9" xfId="0" applyFont="1" applyBorder="1"/>
    <xf numFmtId="0" fontId="6" fillId="0" borderId="40" xfId="0" applyFont="1" applyBorder="1"/>
    <xf numFmtId="0" fontId="6" fillId="0" borderId="41" xfId="0" applyFont="1" applyBorder="1"/>
    <xf numFmtId="0" fontId="10" fillId="0" borderId="0" xfId="0" applyFont="1" applyFill="1" applyBorder="1" applyAlignment="1">
      <alignment horizontal="center" vertical="center"/>
    </xf>
    <xf numFmtId="0" fontId="6" fillId="0" borderId="16" xfId="0" applyFont="1" applyBorder="1"/>
    <xf numFmtId="164" fontId="11" fillId="0" borderId="0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2" fillId="0" borderId="0" xfId="0" applyFont="1" applyBorder="1" applyAlignment="1">
      <alignment horizontal="right" vertical="center" textRotation="90"/>
    </xf>
    <xf numFmtId="0" fontId="13" fillId="0" borderId="0" xfId="0" applyFont="1" applyBorder="1" applyAlignment="1">
      <alignment horizontal="right" vertical="center"/>
    </xf>
    <xf numFmtId="0" fontId="13" fillId="0" borderId="5" xfId="0" applyFont="1" applyBorder="1" applyAlignment="1">
      <alignment horizontal="center"/>
    </xf>
    <xf numFmtId="164" fontId="14" fillId="0" borderId="14" xfId="0" applyNumberFormat="1" applyFont="1" applyFill="1" applyBorder="1" applyAlignment="1">
      <alignment horizontal="left" vertical="center" wrapText="1" indent="1"/>
    </xf>
    <xf numFmtId="0" fontId="6" fillId="0" borderId="15" xfId="0" applyFont="1" applyBorder="1"/>
    <xf numFmtId="0" fontId="6" fillId="4" borderId="8" xfId="0" applyFont="1" applyFill="1" applyBorder="1" applyAlignment="1">
      <alignment horizontal="left" indent="1"/>
    </xf>
    <xf numFmtId="0" fontId="13" fillId="0" borderId="4" xfId="0" applyFont="1" applyBorder="1" applyAlignment="1">
      <alignment horizontal="right" vertical="center"/>
    </xf>
    <xf numFmtId="0" fontId="13" fillId="0" borderId="4" xfId="0" applyFont="1" applyBorder="1" applyAlignment="1">
      <alignment horizontal="center"/>
    </xf>
    <xf numFmtId="0" fontId="19" fillId="0" borderId="0" xfId="0" applyFont="1" applyBorder="1" applyAlignment="1">
      <alignment horizontal="right" vertical="center" textRotation="90"/>
    </xf>
    <xf numFmtId="0" fontId="17" fillId="5" borderId="11" xfId="0" applyFont="1" applyFill="1" applyBorder="1" applyAlignment="1">
      <alignment horizontal="left" vertical="top" indent="1"/>
    </xf>
    <xf numFmtId="164" fontId="20" fillId="0" borderId="14" xfId="0" applyNumberFormat="1" applyFont="1" applyFill="1" applyBorder="1" applyAlignment="1">
      <alignment horizontal="right" vertical="center"/>
    </xf>
    <xf numFmtId="164" fontId="13" fillId="0" borderId="14" xfId="0" applyNumberFormat="1" applyFont="1" applyFill="1" applyBorder="1" applyAlignment="1">
      <alignment horizontal="center"/>
    </xf>
    <xf numFmtId="0" fontId="6" fillId="6" borderId="8" xfId="0" applyFont="1" applyFill="1" applyBorder="1" applyAlignment="1">
      <alignment horizontal="left" indent="1"/>
    </xf>
    <xf numFmtId="49" fontId="16" fillId="6" borderId="8" xfId="0" applyNumberFormat="1" applyFont="1" applyFill="1" applyBorder="1" applyAlignment="1">
      <alignment horizontal="left" indent="1"/>
    </xf>
    <xf numFmtId="0" fontId="17" fillId="6" borderId="21" xfId="0" applyFont="1" applyFill="1" applyBorder="1" applyAlignment="1">
      <alignment horizontal="left" vertical="top" indent="1"/>
    </xf>
    <xf numFmtId="49" fontId="16" fillId="6" borderId="24" xfId="0" applyNumberFormat="1" applyFont="1" applyFill="1" applyBorder="1" applyAlignment="1">
      <alignment horizontal="left" indent="1"/>
    </xf>
    <xf numFmtId="0" fontId="6" fillId="0" borderId="43" xfId="0" applyFont="1" applyBorder="1"/>
    <xf numFmtId="0" fontId="6" fillId="0" borderId="44" xfId="0" applyFont="1" applyBorder="1"/>
    <xf numFmtId="0" fontId="17" fillId="6" borderId="11" xfId="0" applyFont="1" applyFill="1" applyBorder="1" applyAlignment="1">
      <alignment horizontal="left" vertical="top" indent="1"/>
    </xf>
    <xf numFmtId="0" fontId="6" fillId="6" borderId="0" xfId="0" applyFont="1" applyFill="1"/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4" fontId="21" fillId="7" borderId="0" xfId="0" applyNumberFormat="1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vertical="center" textRotation="90"/>
    </xf>
    <xf numFmtId="0" fontId="12" fillId="0" borderId="29" xfId="0" applyFont="1" applyBorder="1" applyAlignment="1">
      <alignment vertical="center" textRotation="90"/>
    </xf>
    <xf numFmtId="0" fontId="6" fillId="0" borderId="3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7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12" fillId="0" borderId="36" xfId="0" applyFont="1" applyBorder="1" applyAlignment="1">
      <alignment horizontal="right" vertical="center" textRotation="90"/>
    </xf>
    <xf numFmtId="0" fontId="12" fillId="0" borderId="29" xfId="0" applyFont="1" applyBorder="1" applyAlignment="1">
      <alignment horizontal="right" vertical="center" textRotation="90"/>
    </xf>
    <xf numFmtId="0" fontId="6" fillId="6" borderId="10" xfId="0" applyFont="1" applyFill="1" applyBorder="1" applyAlignment="1">
      <alignment horizontal="left" indent="1"/>
    </xf>
    <xf numFmtId="0" fontId="6" fillId="6" borderId="16" xfId="0" applyFont="1" applyFill="1" applyBorder="1" applyAlignment="1">
      <alignment horizontal="left" indent="1"/>
    </xf>
    <xf numFmtId="0" fontId="6" fillId="6" borderId="6" xfId="0" applyFont="1" applyFill="1" applyBorder="1" applyAlignment="1">
      <alignment horizontal="left" indent="1"/>
    </xf>
    <xf numFmtId="0" fontId="8" fillId="0" borderId="33" xfId="0" applyFont="1" applyBorder="1" applyAlignment="1">
      <alignment horizontal="left" vertical="center" indent="2"/>
    </xf>
    <xf numFmtId="0" fontId="8" fillId="0" borderId="34" xfId="0" applyFont="1" applyBorder="1" applyAlignment="1">
      <alignment horizontal="left" vertical="center" indent="2"/>
    </xf>
    <xf numFmtId="0" fontId="8" fillId="0" borderId="30" xfId="0" applyFont="1" applyBorder="1" applyAlignment="1">
      <alignment horizontal="left" vertical="center" indent="2"/>
    </xf>
    <xf numFmtId="0" fontId="8" fillId="0" borderId="31" xfId="0" applyFont="1" applyBorder="1" applyAlignment="1">
      <alignment horizontal="left" vertical="center" indent="2"/>
    </xf>
    <xf numFmtId="0" fontId="12" fillId="0" borderId="33" xfId="0" applyFont="1" applyBorder="1" applyAlignment="1">
      <alignment horizontal="right" vertical="center" textRotation="90"/>
    </xf>
    <xf numFmtId="0" fontId="6" fillId="0" borderId="37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9" fillId="0" borderId="35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17" fillId="6" borderId="22" xfId="0" applyFont="1" applyFill="1" applyBorder="1" applyAlignment="1">
      <alignment horizontal="left" vertical="top" indent="1"/>
    </xf>
    <xf numFmtId="0" fontId="17" fillId="6" borderId="23" xfId="0" applyFont="1" applyFill="1" applyBorder="1" applyAlignment="1">
      <alignment horizontal="left" vertical="top" indent="1"/>
    </xf>
    <xf numFmtId="49" fontId="16" fillId="6" borderId="10" xfId="0" applyNumberFormat="1" applyFont="1" applyFill="1" applyBorder="1" applyAlignment="1">
      <alignment horizontal="left" indent="1"/>
    </xf>
    <xf numFmtId="49" fontId="16" fillId="6" borderId="6" xfId="0" applyNumberFormat="1" applyFont="1" applyFill="1" applyBorder="1" applyAlignment="1">
      <alignment horizontal="left" indent="1"/>
    </xf>
    <xf numFmtId="0" fontId="17" fillId="5" borderId="12" xfId="0" applyFont="1" applyFill="1" applyBorder="1" applyAlignment="1">
      <alignment horizontal="left" vertical="top" indent="1"/>
    </xf>
    <xf numFmtId="0" fontId="17" fillId="5" borderId="13" xfId="0" applyFont="1" applyFill="1" applyBorder="1" applyAlignment="1">
      <alignment horizontal="left" vertical="top" indent="1"/>
    </xf>
    <xf numFmtId="49" fontId="16" fillId="6" borderId="25" xfId="0" applyNumberFormat="1" applyFont="1" applyFill="1" applyBorder="1" applyAlignment="1">
      <alignment horizontal="left" indent="1"/>
    </xf>
    <xf numFmtId="49" fontId="16" fillId="6" borderId="26" xfId="0" applyNumberFormat="1" applyFont="1" applyFill="1" applyBorder="1" applyAlignment="1">
      <alignment horizontal="left" indent="1"/>
    </xf>
    <xf numFmtId="49" fontId="16" fillId="6" borderId="16" xfId="0" applyNumberFormat="1" applyFont="1" applyFill="1" applyBorder="1" applyAlignment="1">
      <alignment horizontal="left" indent="1"/>
    </xf>
    <xf numFmtId="164" fontId="17" fillId="6" borderId="22" xfId="0" applyNumberFormat="1" applyFont="1" applyFill="1" applyBorder="1" applyAlignment="1">
      <alignment horizontal="left" vertical="top" indent="1"/>
    </xf>
    <xf numFmtId="164" fontId="17" fillId="6" borderId="27" xfId="0" applyNumberFormat="1" applyFont="1" applyFill="1" applyBorder="1" applyAlignment="1">
      <alignment horizontal="left" vertical="top" indent="1"/>
    </xf>
    <xf numFmtId="49" fontId="16" fillId="6" borderId="25" xfId="0" applyNumberFormat="1" applyFont="1" applyFill="1" applyBorder="1" applyAlignment="1">
      <alignment horizontal="center" vertical="center" wrapText="1"/>
    </xf>
    <xf numFmtId="49" fontId="16" fillId="6" borderId="28" xfId="0" applyNumberFormat="1" applyFont="1" applyFill="1" applyBorder="1" applyAlignment="1">
      <alignment horizontal="center" vertical="center" wrapText="1"/>
    </xf>
    <xf numFmtId="49" fontId="16" fillId="6" borderId="22" xfId="0" applyNumberFormat="1" applyFont="1" applyFill="1" applyBorder="1" applyAlignment="1">
      <alignment horizontal="center" vertical="center" wrapText="1"/>
    </xf>
    <xf numFmtId="49" fontId="16" fillId="6" borderId="27" xfId="0" applyNumberFormat="1" applyFont="1" applyFill="1" applyBorder="1" applyAlignment="1">
      <alignment horizontal="center" vertical="center" wrapText="1"/>
    </xf>
    <xf numFmtId="49" fontId="16" fillId="6" borderId="25" xfId="0" applyNumberFormat="1" applyFont="1" applyFill="1" applyBorder="1" applyAlignment="1">
      <alignment horizontal="center" wrapText="1"/>
    </xf>
    <xf numFmtId="49" fontId="16" fillId="6" borderId="28" xfId="0" applyNumberFormat="1" applyFont="1" applyFill="1" applyBorder="1" applyAlignment="1">
      <alignment horizontal="center" wrapText="1"/>
    </xf>
    <xf numFmtId="49" fontId="16" fillId="6" borderId="22" xfId="0" applyNumberFormat="1" applyFont="1" applyFill="1" applyBorder="1" applyAlignment="1">
      <alignment horizontal="center" wrapText="1"/>
    </xf>
    <xf numFmtId="49" fontId="16" fillId="6" borderId="27" xfId="0" applyNumberFormat="1" applyFont="1" applyFill="1" applyBorder="1" applyAlignment="1">
      <alignment horizontal="center" wrapText="1"/>
    </xf>
    <xf numFmtId="49" fontId="16" fillId="6" borderId="28" xfId="0" applyNumberFormat="1" applyFont="1" applyFill="1" applyBorder="1" applyAlignment="1">
      <alignment horizontal="left" indent="1"/>
    </xf>
    <xf numFmtId="0" fontId="7" fillId="0" borderId="39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vertical="center" textRotation="90"/>
    </xf>
    <xf numFmtId="0" fontId="7" fillId="0" borderId="42" xfId="0" applyFont="1" applyFill="1" applyBorder="1" applyAlignment="1">
      <alignment horizontal="center" vertical="center" textRotation="90"/>
    </xf>
    <xf numFmtId="0" fontId="15" fillId="0" borderId="7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164" fontId="20" fillId="0" borderId="5" xfId="0" applyNumberFormat="1" applyFont="1" applyFill="1" applyBorder="1" applyAlignment="1">
      <alignment horizontal="left"/>
    </xf>
    <xf numFmtId="164" fontId="20" fillId="0" borderId="20" xfId="0" applyNumberFormat="1" applyFont="1" applyFill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49" fontId="18" fillId="6" borderId="10" xfId="0" applyNumberFormat="1" applyFont="1" applyFill="1" applyBorder="1" applyAlignment="1">
      <alignment horizontal="left" indent="1"/>
    </xf>
    <xf numFmtId="49" fontId="18" fillId="6" borderId="16" xfId="0" applyNumberFormat="1" applyFont="1" applyFill="1" applyBorder="1" applyAlignment="1">
      <alignment horizontal="left" indent="1"/>
    </xf>
    <xf numFmtId="0" fontId="17" fillId="6" borderId="27" xfId="0" applyFont="1" applyFill="1" applyBorder="1" applyAlignment="1">
      <alignment horizontal="left" vertical="top" indent="1"/>
    </xf>
    <xf numFmtId="49" fontId="16" fillId="6" borderId="10" xfId="0" applyNumberFormat="1" applyFont="1" applyFill="1" applyBorder="1" applyAlignment="1">
      <alignment horizontal="left" vertical="center" indent="1"/>
    </xf>
    <xf numFmtId="49" fontId="16" fillId="6" borderId="16" xfId="0" applyNumberFormat="1" applyFont="1" applyFill="1" applyBorder="1" applyAlignment="1">
      <alignment horizontal="left" vertical="center" indent="1"/>
    </xf>
    <xf numFmtId="164" fontId="17" fillId="5" borderId="12" xfId="0" applyNumberFormat="1" applyFont="1" applyFill="1" applyBorder="1" applyAlignment="1">
      <alignment horizontal="left" vertical="top" indent="1"/>
    </xf>
    <xf numFmtId="164" fontId="17" fillId="5" borderId="15" xfId="0" applyNumberFormat="1" applyFont="1" applyFill="1" applyBorder="1" applyAlignment="1">
      <alignment horizontal="left" vertical="top" indent="1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17" fillId="6" borderId="12" xfId="0" applyFont="1" applyFill="1" applyBorder="1" applyAlignment="1">
      <alignment horizontal="left" vertical="top" indent="1"/>
    </xf>
    <xf numFmtId="0" fontId="17" fillId="6" borderId="13" xfId="0" applyFont="1" applyFill="1" applyBorder="1" applyAlignment="1">
      <alignment horizontal="left" vertical="top" indent="1"/>
    </xf>
    <xf numFmtId="164" fontId="17" fillId="6" borderId="12" xfId="0" applyNumberFormat="1" applyFont="1" applyFill="1" applyBorder="1" applyAlignment="1">
      <alignment horizontal="left" vertical="top" indent="1"/>
    </xf>
    <xf numFmtId="164" fontId="17" fillId="6" borderId="15" xfId="0" applyNumberFormat="1" applyFont="1" applyFill="1" applyBorder="1" applyAlignment="1">
      <alignment horizontal="left" vertical="top" indent="1"/>
    </xf>
    <xf numFmtId="0" fontId="18" fillId="6" borderId="22" xfId="0" applyFont="1" applyFill="1" applyBorder="1" applyAlignment="1">
      <alignment horizontal="left" vertical="top" indent="1"/>
    </xf>
    <xf numFmtId="0" fontId="18" fillId="6" borderId="27" xfId="0" applyFont="1" applyFill="1" applyBorder="1" applyAlignment="1">
      <alignment horizontal="left" vertical="top" indent="1"/>
    </xf>
    <xf numFmtId="0" fontId="6" fillId="4" borderId="10" xfId="0" applyFont="1" applyFill="1" applyBorder="1" applyAlignment="1">
      <alignment horizontal="left" indent="1"/>
    </xf>
    <xf numFmtId="0" fontId="6" fillId="4" borderId="6" xfId="0" applyFont="1" applyFill="1" applyBorder="1" applyAlignment="1">
      <alignment horizontal="left" indent="1"/>
    </xf>
    <xf numFmtId="0" fontId="6" fillId="4" borderId="16" xfId="0" applyFont="1" applyFill="1" applyBorder="1" applyAlignment="1">
      <alignment horizontal="left" indent="1"/>
    </xf>
  </cellXfs>
  <cellStyles count="5">
    <cellStyle name="40% - Accent1 2" xfId="3"/>
    <cellStyle name="Accent1 2" xfId="2"/>
    <cellStyle name="Heading 1 2" xfId="4"/>
    <cellStyle name="Normal" xfId="0" builtinId="0" customBuiltin="1"/>
    <cellStyle name="Normal 2" xfId="1"/>
  </cellStyles>
  <dxfs count="66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65"/>
      <tableStyleElement type="headerRow" dxfId="64"/>
      <tableStyleElement type="totalRow" dxfId="63"/>
      <tableStyleElement type="firstColumn" dxfId="62"/>
      <tableStyleElement type="lastColumn" dxfId="61"/>
      <tableStyleElement type="firstRowStripe" dxfId="60"/>
      <tableStyleElement type="firstColumnStripe" dxfId="59"/>
    </tableStyle>
    <tableStyle name="TableStyleLight9 2" pivot="0" count="4">
      <tableStyleElement type="wholeTable" dxfId="58"/>
      <tableStyleElement type="headerRow" dxfId="57"/>
      <tableStyleElement type="totalRow" dxfId="56"/>
      <tableStyleElement type="firstColumn" dxfId="5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N$2" max="2999" min="1900" page="10" val="2016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</xdr:row>
      <xdr:rowOff>28575</xdr:rowOff>
    </xdr:from>
    <xdr:to>
      <xdr:col>18</xdr:col>
      <xdr:colOff>552450</xdr:colOff>
      <xdr:row>2</xdr:row>
      <xdr:rowOff>238124</xdr:rowOff>
    </xdr:to>
    <xdr:sp macro="" textlink="">
      <xdr:nvSpPr>
        <xdr:cNvPr id="3" name="TextBox 2"/>
        <xdr:cNvSpPr txBox="1"/>
      </xdr:nvSpPr>
      <xdr:spPr>
        <a:xfrm>
          <a:off x="9639300" y="171450"/>
          <a:ext cx="2286000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6">
                  <a:lumMod val="75000"/>
                </a:schemeClr>
              </a:solidFill>
            </a:rPr>
            <a:t>Haga clic en el control de número para cambiar</a:t>
          </a:r>
          <a:r>
            <a:rPr lang="en-US" sz="1000" b="1" baseline="0">
              <a:solidFill>
                <a:schemeClr val="accent6">
                  <a:lumMod val="75000"/>
                </a:schemeClr>
              </a:solidFill>
            </a:rPr>
            <a:t> el año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</xdr:row>
          <xdr:rowOff>85725</xdr:rowOff>
        </xdr:from>
        <xdr:to>
          <xdr:col>15</xdr:col>
          <xdr:colOff>0</xdr:colOff>
          <xdr:row>2</xdr:row>
          <xdr:rowOff>161925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35"/>
  <sheetViews>
    <sheetView showGridLines="0" view="pageBreakPreview" zoomScaleNormal="100" zoomScaleSheetLayoutView="100" zoomScalePageLayoutView="84" workbookViewId="0">
      <selection activeCell="L19" sqref="L19"/>
    </sheetView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style="1" customWidth="1"/>
    <col min="13" max="13" width="51.42578125" style="1" customWidth="1"/>
    <col min="14" max="14" width="10.7109375" style="1" customWidth="1"/>
    <col min="15" max="15" width="2.28515625" style="1" customWidth="1"/>
    <col min="16" max="22" width="8.85546875" style="1" customWidth="1"/>
    <col min="23" max="16384" width="8.7109375" style="1"/>
  </cols>
  <sheetData>
    <row r="1" spans="1:14" ht="11.25" customHeight="1" x14ac:dyDescent="0.2"/>
    <row r="2" spans="1:14" ht="18" customHeight="1" x14ac:dyDescent="0.2">
      <c r="A2" s="2"/>
      <c r="B2" s="77" t="s">
        <v>3</v>
      </c>
      <c r="C2" s="3"/>
      <c r="D2" s="3"/>
      <c r="E2" s="3"/>
      <c r="F2" s="3"/>
      <c r="G2" s="3"/>
      <c r="H2" s="3"/>
      <c r="I2" s="3"/>
      <c r="J2" s="4"/>
      <c r="K2" s="46" t="s">
        <v>2</v>
      </c>
      <c r="L2" s="47">
        <v>2013</v>
      </c>
      <c r="M2" s="47"/>
      <c r="N2" s="55">
        <v>2016</v>
      </c>
    </row>
    <row r="3" spans="1:14" ht="21" customHeight="1" x14ac:dyDescent="0.2">
      <c r="A3" s="2"/>
      <c r="B3" s="78"/>
      <c r="C3" s="5" t="s">
        <v>4</v>
      </c>
      <c r="D3" s="5" t="s">
        <v>1</v>
      </c>
      <c r="E3" s="5" t="s">
        <v>5</v>
      </c>
      <c r="F3" s="5" t="s">
        <v>6</v>
      </c>
      <c r="G3" s="5" t="s">
        <v>7</v>
      </c>
      <c r="H3" s="5" t="s">
        <v>0</v>
      </c>
      <c r="I3" s="5" t="s">
        <v>8</v>
      </c>
      <c r="J3" s="6"/>
      <c r="K3" s="48"/>
      <c r="L3" s="49"/>
      <c r="M3" s="49"/>
      <c r="N3" s="56"/>
    </row>
    <row r="4" spans="1:14" ht="45.75" customHeight="1" x14ac:dyDescent="0.2">
      <c r="A4" s="2"/>
      <c r="B4" s="78"/>
      <c r="C4" s="7">
        <f>IF(DAY(JanSun1)=1,JanSun1-6,JanSun1+1)</f>
        <v>42366</v>
      </c>
      <c r="D4" s="7">
        <f>IF(DAY(JanSun1)=1,JanSun1-5,JanSun1+2)</f>
        <v>42367</v>
      </c>
      <c r="E4" s="7">
        <f>IF(DAY(JanSun1)=1,JanSun1-4,JanSun1+3)</f>
        <v>42368</v>
      </c>
      <c r="F4" s="7">
        <f>IF(DAY(JanSun1)=1,JanSun1-3,JanSun1+4)</f>
        <v>42369</v>
      </c>
      <c r="G4" s="7">
        <f>IF(DAY(JanSun1)=1,JanSun1-2,JanSun1+5)</f>
        <v>42370</v>
      </c>
      <c r="H4" s="7">
        <f>IF(DAY(JanSun1)=1,JanSun1-1,JanSun1+6)</f>
        <v>42371</v>
      </c>
      <c r="I4" s="7">
        <f>IF(DAY(JanSun1)=1,JanSun1,JanSun1+7)</f>
        <v>42372</v>
      </c>
      <c r="J4" s="6"/>
      <c r="K4" s="50" t="s">
        <v>11</v>
      </c>
      <c r="L4" s="30">
        <v>4</v>
      </c>
      <c r="M4" s="51" t="s">
        <v>26</v>
      </c>
      <c r="N4" s="52"/>
    </row>
    <row r="5" spans="1:14" ht="28.5" customHeight="1" x14ac:dyDescent="0.2">
      <c r="A5" s="2"/>
      <c r="B5" s="78"/>
      <c r="C5" s="7">
        <f>IF(DAY(JanSun1)=1,JanSun1+1,JanSun1+8)</f>
        <v>42373</v>
      </c>
      <c r="D5" s="7">
        <f>IF(DAY(JanSun1)=1,JanSun1+2,JanSun1+9)</f>
        <v>42374</v>
      </c>
      <c r="E5" s="7">
        <f>IF(DAY(JanSun1)=1,JanSun1+3,JanSun1+10)</f>
        <v>42375</v>
      </c>
      <c r="F5" s="7">
        <f>IF(DAY(JanSun1)=1,JanSun1+4,JanSun1+11)</f>
        <v>42376</v>
      </c>
      <c r="G5" s="7">
        <f>IF(DAY(JanSun1)=1,JanSun1+5,JanSun1+12)</f>
        <v>42377</v>
      </c>
      <c r="H5" s="7">
        <f>IF(DAY(JanSun1)=1,JanSun1+6,JanSun1+13)</f>
        <v>42378</v>
      </c>
      <c r="I5" s="7">
        <f>IF(DAY(JanSun1)=1,JanSun1+7,JanSun1+14)</f>
        <v>42379</v>
      </c>
      <c r="J5" s="6"/>
      <c r="K5" s="42"/>
      <c r="L5" s="1">
        <v>11</v>
      </c>
      <c r="M5" s="1" t="s">
        <v>37</v>
      </c>
    </row>
    <row r="6" spans="1:14" ht="18" customHeight="1" x14ac:dyDescent="0.2">
      <c r="A6" s="2"/>
      <c r="B6" s="78"/>
      <c r="C6" s="7">
        <f>IF(DAY(JanSun1)=1,JanSun1+8,JanSun1+15)</f>
        <v>42380</v>
      </c>
      <c r="D6" s="7">
        <f>IF(DAY(JanSun1)=1,JanSun1+9,JanSun1+16)</f>
        <v>42381</v>
      </c>
      <c r="E6" s="7">
        <f>IF(DAY(JanSun1)=1,JanSun1+10,JanSun1+17)</f>
        <v>42382</v>
      </c>
      <c r="F6" s="7">
        <f>IF(DAY(JanSun1)=1,JanSun1+11,JanSun1+18)</f>
        <v>42383</v>
      </c>
      <c r="G6" s="7">
        <f>IF(DAY(JanSun1)=1,JanSun1+12,JanSun1+19)</f>
        <v>42384</v>
      </c>
      <c r="H6" s="7">
        <f>IF(DAY(JanSun1)=1,JanSun1+13,JanSun1+20)</f>
        <v>42385</v>
      </c>
      <c r="I6" s="7">
        <f>IF(DAY(JanSun1)=1,JanSun1+14,JanSun1+21)</f>
        <v>42386</v>
      </c>
      <c r="J6" s="6"/>
      <c r="K6" s="42"/>
      <c r="L6" s="9"/>
      <c r="M6" s="35"/>
      <c r="N6" s="36"/>
    </row>
    <row r="7" spans="1:14" ht="18" customHeight="1" x14ac:dyDescent="0.2">
      <c r="A7" s="2"/>
      <c r="B7" s="78"/>
      <c r="C7" s="7">
        <f>IF(DAY(JanSun1)=1,JanSun1+15,JanSun1+22)</f>
        <v>42387</v>
      </c>
      <c r="D7" s="7">
        <f>IF(DAY(JanSun1)=1,JanSun1+16,JanSun1+23)</f>
        <v>42388</v>
      </c>
      <c r="E7" s="7">
        <f>IF(DAY(JanSun1)=1,JanSun1+17,JanSun1+24)</f>
        <v>42389</v>
      </c>
      <c r="F7" s="7">
        <f>IF(DAY(JanSun1)=1,JanSun1+18,JanSun1+25)</f>
        <v>42390</v>
      </c>
      <c r="G7" s="7">
        <f>IF(DAY(JanSun1)=1,JanSun1+19,JanSun1+26)</f>
        <v>42391</v>
      </c>
      <c r="H7" s="7">
        <f>IF(DAY(JanSun1)=1,JanSun1+20,JanSun1+27)</f>
        <v>42392</v>
      </c>
      <c r="I7" s="7">
        <f>IF(DAY(JanSun1)=1,JanSun1+21,JanSun1+28)</f>
        <v>42393</v>
      </c>
      <c r="J7" s="6"/>
      <c r="K7" s="10"/>
      <c r="L7" s="9"/>
      <c r="M7" s="35"/>
      <c r="N7" s="36"/>
    </row>
    <row r="8" spans="1:14" ht="18.75" customHeight="1" x14ac:dyDescent="0.2">
      <c r="A8" s="2"/>
      <c r="B8" s="78"/>
      <c r="C8" s="7">
        <f>IF(DAY(JanSun1)=1,JanSun1+22,JanSun1+29)</f>
        <v>42394</v>
      </c>
      <c r="D8" s="7">
        <f>IF(DAY(JanSun1)=1,JanSun1+23,JanSun1+30)</f>
        <v>42395</v>
      </c>
      <c r="E8" s="7">
        <f>IF(DAY(JanSun1)=1,JanSun1+24,JanSun1+31)</f>
        <v>42396</v>
      </c>
      <c r="F8" s="7">
        <f>IF(DAY(JanSun1)=1,JanSun1+25,JanSun1+32)</f>
        <v>42397</v>
      </c>
      <c r="G8" s="7">
        <f>IF(DAY(JanSun1)=1,JanSun1+26,JanSun1+33)</f>
        <v>42398</v>
      </c>
      <c r="H8" s="7">
        <f>IF(DAY(JanSun1)=1,JanSun1+27,JanSun1+34)</f>
        <v>42399</v>
      </c>
      <c r="I8" s="7">
        <f>IF(DAY(JanSun1)=1,JanSun1+28,JanSun1+35)</f>
        <v>42400</v>
      </c>
      <c r="J8" s="6"/>
      <c r="K8" s="10"/>
      <c r="L8" s="9"/>
      <c r="M8" s="35"/>
      <c r="N8" s="36"/>
    </row>
    <row r="9" spans="1:14" ht="18" customHeight="1" x14ac:dyDescent="0.2">
      <c r="A9" s="2"/>
      <c r="B9" s="78"/>
      <c r="C9" s="7">
        <f>IF(DAY(JanSun1)=1,JanSun1+29,JanSun1+36)</f>
        <v>42401</v>
      </c>
      <c r="D9" s="7">
        <f>IF(DAY(JanSun1)=1,JanSun1+30,JanSun1+37)</f>
        <v>42402</v>
      </c>
      <c r="E9" s="7">
        <f>IF(DAY(JanSun1)=1,JanSun1+31,JanSun1+38)</f>
        <v>42403</v>
      </c>
      <c r="F9" s="7">
        <f>IF(DAY(JanSun1)=1,JanSun1+32,JanSun1+39)</f>
        <v>42404</v>
      </c>
      <c r="G9" s="7">
        <f>IF(DAY(JanSun1)=1,JanSun1+33,JanSun1+40)</f>
        <v>42405</v>
      </c>
      <c r="H9" s="7">
        <f>IF(DAY(JanSun1)=1,JanSun1+34,JanSun1+41)</f>
        <v>42406</v>
      </c>
      <c r="I9" s="7">
        <f>IF(DAY(JanSun1)=1,JanSun1+35,JanSun1+42)</f>
        <v>42407</v>
      </c>
      <c r="J9" s="6"/>
      <c r="K9" s="11"/>
      <c r="L9" s="12"/>
      <c r="M9" s="37"/>
      <c r="N9" s="38"/>
    </row>
    <row r="10" spans="1:14" ht="29.25" customHeight="1" x14ac:dyDescent="0.2">
      <c r="A10" s="2"/>
      <c r="B10" s="79"/>
      <c r="C10" s="13"/>
      <c r="D10" s="13"/>
      <c r="E10" s="13"/>
      <c r="F10" s="13"/>
      <c r="G10" s="13"/>
      <c r="H10" s="13"/>
      <c r="I10" s="13"/>
      <c r="J10" s="14"/>
      <c r="K10" s="41" t="s">
        <v>12</v>
      </c>
      <c r="L10" s="31">
        <v>5</v>
      </c>
      <c r="M10" s="53" t="s">
        <v>27</v>
      </c>
      <c r="N10" s="54"/>
    </row>
    <row r="11" spans="1:14" ht="33.75" customHeight="1" x14ac:dyDescent="0.2">
      <c r="A11" s="2"/>
      <c r="B11" s="80" t="s">
        <v>10</v>
      </c>
      <c r="C11" s="81"/>
      <c r="D11" s="81"/>
      <c r="E11" s="81"/>
      <c r="F11" s="81"/>
      <c r="G11" s="81"/>
      <c r="H11" s="81"/>
      <c r="I11" s="81"/>
      <c r="J11" s="82"/>
      <c r="K11" s="42"/>
      <c r="L11" s="9">
        <v>12</v>
      </c>
      <c r="M11" s="53" t="s">
        <v>38</v>
      </c>
      <c r="N11" s="54"/>
    </row>
    <row r="12" spans="1:14" ht="18" customHeight="1" x14ac:dyDescent="0.2">
      <c r="A12" s="2"/>
      <c r="B12" s="80"/>
      <c r="C12" s="81"/>
      <c r="D12" s="81"/>
      <c r="E12" s="81"/>
      <c r="F12" s="81"/>
      <c r="G12" s="81"/>
      <c r="H12" s="81"/>
      <c r="I12" s="81"/>
      <c r="J12" s="82"/>
      <c r="K12" s="42"/>
      <c r="L12" s="9"/>
      <c r="M12" s="35"/>
      <c r="N12" s="36"/>
    </row>
    <row r="13" spans="1:14" ht="18" customHeight="1" x14ac:dyDescent="0.2">
      <c r="B13" s="22" t="s">
        <v>11</v>
      </c>
      <c r="C13" s="43" t="s">
        <v>12</v>
      </c>
      <c r="D13" s="45"/>
      <c r="E13" s="43" t="s">
        <v>13</v>
      </c>
      <c r="F13" s="45"/>
      <c r="G13" s="43" t="s">
        <v>14</v>
      </c>
      <c r="H13" s="45"/>
      <c r="I13" s="43" t="s">
        <v>15</v>
      </c>
      <c r="J13" s="44"/>
      <c r="K13" s="10"/>
      <c r="L13" s="9"/>
      <c r="M13" s="35"/>
      <c r="N13" s="36"/>
    </row>
    <row r="14" spans="1:14" ht="18" customHeight="1" x14ac:dyDescent="0.2">
      <c r="B14" s="23"/>
      <c r="C14" s="59"/>
      <c r="D14" s="60"/>
      <c r="E14" s="59"/>
      <c r="F14" s="60"/>
      <c r="G14" s="59"/>
      <c r="H14" s="60"/>
      <c r="I14" s="59"/>
      <c r="J14" s="65"/>
      <c r="K14" s="10"/>
      <c r="L14" s="9"/>
      <c r="M14" s="35"/>
      <c r="N14" s="36"/>
    </row>
    <row r="15" spans="1:14" ht="18" customHeight="1" x14ac:dyDescent="0.2">
      <c r="B15" s="24"/>
      <c r="C15" s="57"/>
      <c r="D15" s="58"/>
      <c r="E15" s="57"/>
      <c r="F15" s="58"/>
      <c r="G15" s="57"/>
      <c r="H15" s="58"/>
      <c r="I15" s="66"/>
      <c r="J15" s="67"/>
      <c r="K15" s="16"/>
      <c r="L15" s="17"/>
      <c r="M15" s="37"/>
      <c r="N15" s="38"/>
    </row>
    <row r="16" spans="1:14" ht="34.5" customHeight="1" x14ac:dyDescent="0.2">
      <c r="B16" s="23"/>
      <c r="C16" s="59"/>
      <c r="D16" s="60"/>
      <c r="E16" s="59"/>
      <c r="F16" s="60"/>
      <c r="G16" s="59"/>
      <c r="H16" s="60"/>
      <c r="I16" s="68" t="s">
        <v>30</v>
      </c>
      <c r="J16" s="69"/>
      <c r="K16" s="33" t="s">
        <v>13</v>
      </c>
      <c r="L16" s="30"/>
      <c r="M16" s="39"/>
      <c r="N16" s="40"/>
    </row>
    <row r="17" spans="2:14" ht="23.25" customHeight="1" x14ac:dyDescent="0.2">
      <c r="B17" s="24"/>
      <c r="C17" s="57"/>
      <c r="D17" s="58"/>
      <c r="E17" s="57"/>
      <c r="F17" s="58"/>
      <c r="G17" s="57"/>
      <c r="H17" s="58"/>
      <c r="I17" s="70"/>
      <c r="J17" s="71"/>
      <c r="K17" s="34"/>
      <c r="L17" s="9">
        <v>13</v>
      </c>
      <c r="M17" s="35" t="s">
        <v>39</v>
      </c>
      <c r="N17" s="36"/>
    </row>
    <row r="18" spans="2:14" ht="18" customHeight="1" x14ac:dyDescent="0.2">
      <c r="B18" s="25"/>
      <c r="C18" s="63"/>
      <c r="D18" s="64"/>
      <c r="E18" s="63"/>
      <c r="F18" s="64"/>
      <c r="G18" s="63"/>
      <c r="H18" s="64"/>
      <c r="I18" s="63"/>
      <c r="J18" s="76"/>
      <c r="K18" s="34"/>
      <c r="L18" s="9"/>
      <c r="M18" s="35"/>
      <c r="N18" s="36"/>
    </row>
    <row r="19" spans="2:14" ht="18" customHeight="1" x14ac:dyDescent="0.2">
      <c r="B19" s="24"/>
      <c r="C19" s="57"/>
      <c r="D19" s="58"/>
      <c r="E19" s="57"/>
      <c r="F19" s="58"/>
      <c r="G19" s="57"/>
      <c r="H19" s="58"/>
      <c r="I19" s="66"/>
      <c r="J19" s="67"/>
      <c r="K19" s="10"/>
      <c r="L19" s="9"/>
    </row>
    <row r="20" spans="2:14" ht="18" customHeight="1" x14ac:dyDescent="0.2">
      <c r="B20" s="23"/>
      <c r="C20" s="59"/>
      <c r="D20" s="60"/>
      <c r="E20" s="59"/>
      <c r="F20" s="60"/>
      <c r="G20" s="59"/>
      <c r="H20" s="60"/>
      <c r="I20" s="72" t="s">
        <v>31</v>
      </c>
      <c r="J20" s="73"/>
      <c r="K20" s="10"/>
      <c r="L20" s="9">
        <v>27</v>
      </c>
      <c r="M20" s="35" t="s">
        <v>48</v>
      </c>
      <c r="N20" s="36"/>
    </row>
    <row r="21" spans="2:14" ht="30" customHeight="1" x14ac:dyDescent="0.2">
      <c r="B21" s="24"/>
      <c r="C21" s="57"/>
      <c r="D21" s="58"/>
      <c r="E21" s="57"/>
      <c r="F21" s="58"/>
      <c r="G21" s="57"/>
      <c r="H21" s="58"/>
      <c r="I21" s="74"/>
      <c r="J21" s="75"/>
      <c r="K21" s="16"/>
      <c r="L21" s="17"/>
      <c r="M21" s="37"/>
      <c r="N21" s="38"/>
    </row>
    <row r="22" spans="2:14" ht="18" customHeight="1" x14ac:dyDescent="0.2">
      <c r="B22" s="23"/>
      <c r="C22" s="59"/>
      <c r="D22" s="60"/>
      <c r="E22" s="59"/>
      <c r="F22" s="60"/>
      <c r="G22" s="59"/>
      <c r="H22" s="60"/>
      <c r="I22" s="29"/>
      <c r="J22" s="29"/>
      <c r="K22" s="33" t="s">
        <v>14</v>
      </c>
      <c r="L22" s="8">
        <v>7</v>
      </c>
      <c r="M22" s="85" t="s">
        <v>36</v>
      </c>
      <c r="N22" s="86"/>
    </row>
    <row r="23" spans="2:14" ht="18" customHeight="1" x14ac:dyDescent="0.2">
      <c r="B23" s="24"/>
      <c r="C23" s="57"/>
      <c r="D23" s="58"/>
      <c r="E23" s="57"/>
      <c r="F23" s="58"/>
      <c r="G23" s="57"/>
      <c r="H23" s="58"/>
      <c r="I23" s="66"/>
      <c r="J23" s="67"/>
      <c r="K23" s="34"/>
      <c r="L23" s="9"/>
      <c r="M23" s="35"/>
      <c r="N23" s="36"/>
    </row>
    <row r="24" spans="2:14" ht="18" customHeight="1" x14ac:dyDescent="0.2">
      <c r="B24" s="23"/>
      <c r="C24" s="59"/>
      <c r="D24" s="60"/>
      <c r="E24" s="59"/>
      <c r="F24" s="60"/>
      <c r="G24" s="59"/>
      <c r="H24" s="60"/>
      <c r="I24" s="72" t="s">
        <v>32</v>
      </c>
      <c r="J24" s="73"/>
      <c r="K24" s="34"/>
      <c r="L24" s="9"/>
      <c r="M24" s="35"/>
      <c r="N24" s="36"/>
    </row>
    <row r="25" spans="2:14" ht="30" customHeight="1" x14ac:dyDescent="0.2">
      <c r="B25" s="24"/>
      <c r="C25" s="57"/>
      <c r="D25" s="58"/>
      <c r="E25" s="57"/>
      <c r="F25" s="58"/>
      <c r="G25" s="57"/>
      <c r="H25" s="58"/>
      <c r="I25" s="74"/>
      <c r="J25" s="75"/>
      <c r="K25" s="34"/>
      <c r="L25" s="9"/>
      <c r="M25" s="35"/>
      <c r="N25" s="36"/>
    </row>
    <row r="26" spans="2:14" ht="18" customHeight="1" x14ac:dyDescent="0.2">
      <c r="B26" s="23"/>
      <c r="C26" s="59"/>
      <c r="D26" s="60"/>
      <c r="E26" s="59"/>
      <c r="F26" s="60"/>
      <c r="G26" s="59"/>
      <c r="H26" s="60"/>
      <c r="I26" s="59"/>
      <c r="J26" s="65"/>
      <c r="K26" s="10"/>
      <c r="L26" s="9">
        <v>28</v>
      </c>
      <c r="M26" s="35" t="s">
        <v>42</v>
      </c>
      <c r="N26" s="36"/>
    </row>
    <row r="27" spans="2:14" ht="18" customHeight="1" x14ac:dyDescent="0.2">
      <c r="B27" s="24"/>
      <c r="C27" s="57"/>
      <c r="D27" s="58"/>
      <c r="E27" s="57"/>
      <c r="F27" s="58"/>
      <c r="G27" s="57"/>
      <c r="H27" s="58"/>
      <c r="I27" s="66"/>
      <c r="J27" s="67"/>
      <c r="K27" s="16"/>
      <c r="L27" s="17"/>
      <c r="M27" s="37"/>
      <c r="N27" s="38"/>
    </row>
    <row r="28" spans="2:14" ht="30" customHeight="1" x14ac:dyDescent="0.2">
      <c r="B28" s="23"/>
      <c r="C28" s="59"/>
      <c r="D28" s="60"/>
      <c r="E28" s="59"/>
      <c r="F28" s="60"/>
      <c r="G28" s="59"/>
      <c r="H28" s="60"/>
      <c r="I28" s="72" t="s">
        <v>33</v>
      </c>
      <c r="J28" s="73"/>
      <c r="K28" s="41" t="s">
        <v>15</v>
      </c>
      <c r="L28" s="30">
        <v>8</v>
      </c>
      <c r="M28" s="39" t="s">
        <v>35</v>
      </c>
      <c r="N28" s="40"/>
    </row>
    <row r="29" spans="2:14" ht="30" customHeight="1" x14ac:dyDescent="0.2">
      <c r="B29" s="24"/>
      <c r="C29" s="57"/>
      <c r="D29" s="58"/>
      <c r="E29" s="57"/>
      <c r="F29" s="58"/>
      <c r="G29" s="57"/>
      <c r="H29" s="58"/>
      <c r="I29" s="74"/>
      <c r="J29" s="75"/>
      <c r="K29" s="42"/>
      <c r="L29" s="9">
        <v>15</v>
      </c>
      <c r="M29" s="35" t="s">
        <v>40</v>
      </c>
      <c r="N29" s="36"/>
    </row>
    <row r="30" spans="2:14" ht="18" customHeight="1" x14ac:dyDescent="0.2">
      <c r="B30" s="23"/>
      <c r="C30" s="59"/>
      <c r="D30" s="60"/>
      <c r="E30" s="59"/>
      <c r="F30" s="60"/>
      <c r="G30" s="59"/>
      <c r="H30" s="60"/>
      <c r="I30" s="87"/>
      <c r="J30" s="88"/>
      <c r="K30" s="42"/>
      <c r="L30" s="9"/>
      <c r="M30" s="35"/>
      <c r="N30" s="36"/>
    </row>
    <row r="31" spans="2:14" ht="18" customHeight="1" x14ac:dyDescent="0.2">
      <c r="B31" s="24"/>
      <c r="C31" s="57"/>
      <c r="D31" s="58"/>
      <c r="E31" s="57"/>
      <c r="F31" s="58"/>
      <c r="G31" s="57"/>
      <c r="H31" s="58"/>
      <c r="I31" s="57"/>
      <c r="J31" s="89"/>
      <c r="K31" s="18"/>
      <c r="L31" s="9"/>
      <c r="M31" s="35"/>
      <c r="N31" s="36"/>
    </row>
    <row r="32" spans="2:14" ht="18" customHeight="1" x14ac:dyDescent="0.2">
      <c r="B32" s="23"/>
      <c r="C32" s="59"/>
      <c r="D32" s="60"/>
      <c r="E32" s="59"/>
      <c r="F32" s="60"/>
      <c r="G32" s="59"/>
      <c r="H32" s="60"/>
      <c r="I32" s="90"/>
      <c r="J32" s="91"/>
      <c r="K32" s="18"/>
      <c r="L32" s="9"/>
      <c r="M32" s="35"/>
      <c r="N32" s="36"/>
    </row>
    <row r="33" spans="2:14" ht="18" customHeight="1" x14ac:dyDescent="0.2">
      <c r="B33" s="19"/>
      <c r="C33" s="61"/>
      <c r="D33" s="62"/>
      <c r="E33" s="61"/>
      <c r="F33" s="62"/>
      <c r="G33" s="61"/>
      <c r="H33" s="62"/>
      <c r="I33" s="92"/>
      <c r="J33" s="93"/>
      <c r="K33" s="20"/>
      <c r="L33" s="21"/>
      <c r="M33" s="83"/>
      <c r="N33" s="84"/>
    </row>
    <row r="34" spans="2:14" ht="16.5" customHeight="1" x14ac:dyDescent="0.2">
      <c r="K34" s="1" t="s">
        <v>28</v>
      </c>
    </row>
    <row r="35" spans="2:14" ht="16.5" customHeight="1" x14ac:dyDescent="0.2">
      <c r="I35" s="1" t="s">
        <v>29</v>
      </c>
      <c r="K35" s="1" t="s">
        <v>34</v>
      </c>
    </row>
  </sheetData>
  <mergeCells count="116">
    <mergeCell ref="B2:B10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6:J26"/>
    <mergeCell ref="I18:J18"/>
    <mergeCell ref="G19:H19"/>
    <mergeCell ref="I27:J27"/>
    <mergeCell ref="G25:H25"/>
    <mergeCell ref="G26:H26"/>
    <mergeCell ref="G27:H27"/>
    <mergeCell ref="G28:H28"/>
    <mergeCell ref="G29:H29"/>
    <mergeCell ref="I24:J25"/>
    <mergeCell ref="I28:J29"/>
    <mergeCell ref="I23:J23"/>
    <mergeCell ref="E27:F27"/>
    <mergeCell ref="E26:F26"/>
    <mergeCell ref="E25:F25"/>
    <mergeCell ref="E24:F24"/>
    <mergeCell ref="G14:H14"/>
    <mergeCell ref="I14:J14"/>
    <mergeCell ref="G15:H15"/>
    <mergeCell ref="I15:J15"/>
    <mergeCell ref="G16:H16"/>
    <mergeCell ref="I16:J17"/>
    <mergeCell ref="E18:F18"/>
    <mergeCell ref="E17:F17"/>
    <mergeCell ref="E16:F16"/>
    <mergeCell ref="E15:F15"/>
    <mergeCell ref="E14:F14"/>
    <mergeCell ref="G22:H22"/>
    <mergeCell ref="G23:H23"/>
    <mergeCell ref="G24:H24"/>
    <mergeCell ref="G20:H20"/>
    <mergeCell ref="G21:H21"/>
    <mergeCell ref="I19:J19"/>
    <mergeCell ref="I20:J21"/>
    <mergeCell ref="G17:H17"/>
    <mergeCell ref="G18:H18"/>
    <mergeCell ref="E33:F33"/>
    <mergeCell ref="E32:F32"/>
    <mergeCell ref="E31:F31"/>
    <mergeCell ref="E30:F30"/>
    <mergeCell ref="E29:F29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E23:F23"/>
    <mergeCell ref="E22:F22"/>
    <mergeCell ref="E21:F21"/>
    <mergeCell ref="E20:F20"/>
    <mergeCell ref="E19:F19"/>
    <mergeCell ref="E28:F28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10:N10"/>
    <mergeCell ref="M6:N6"/>
    <mergeCell ref="M7:N7"/>
    <mergeCell ref="M8:N8"/>
    <mergeCell ref="M9:N9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20:N20"/>
  </mergeCells>
  <phoneticPr fontId="1" type="noConversion"/>
  <conditionalFormatting sqref="C4:H4">
    <cfRule type="expression" dxfId="54" priority="4" stopIfTrue="1">
      <formula>DAY(C4)&gt;8</formula>
    </cfRule>
  </conditionalFormatting>
  <conditionalFormatting sqref="C8:I10">
    <cfRule type="expression" dxfId="53" priority="3" stopIfTrue="1">
      <formula>AND(DAY(C8)&gt;=1,DAY(C8)&lt;=15)</formula>
    </cfRule>
  </conditionalFormatting>
  <conditionalFormatting sqref="C4:I9">
    <cfRule type="expression" dxfId="52" priority="15">
      <formula>VLOOKUP(DAY(C4),DíasDeTareas,1,FALSE)=DAY(C4)</formula>
    </cfRule>
  </conditionalFormatting>
  <conditionalFormatting sqref="B14:J15 B18:J19 B16:I16 B17:H17 B20:I20 B21:H22 B23:J23 B26:J27 B24:I24 B25:H25 B30:J33 B28:I28 B29:H29">
    <cfRule type="expression" dxfId="51" priority="1">
      <formula>B14&lt;&gt;""</formula>
    </cfRule>
  </conditionalFormatting>
  <dataValidations disablePrompts="1" count="1">
    <dataValidation allowBlank="1" showInputMessage="1" showErrorMessage="1" errorTitle="Invalid Year" error="Enter a year from 1900 to 9999, or use the scroll bar to find a year." sqref="N2"/>
  </dataValidations>
  <printOptions horizontalCentered="1"/>
  <pageMargins left="0.5" right="0.5" top="0.5" bottom="0.5" header="0.3" footer="0.3"/>
  <pageSetup scale="5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14</xdr:col>
                    <xdr:colOff>28575</xdr:colOff>
                    <xdr:row>1</xdr:row>
                    <xdr:rowOff>85725</xdr:rowOff>
                  </from>
                  <to>
                    <xdr:col>15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33"/>
  <sheetViews>
    <sheetView showGridLines="0" topLeftCell="A8" zoomScaleNormal="100" zoomScalePageLayoutView="84" workbookViewId="0">
      <selection activeCell="A8" sqref="A1:XFD1048576"/>
    </sheetView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style="1" customWidth="1"/>
    <col min="13" max="13" width="51.42578125" style="1" customWidth="1"/>
    <col min="14" max="14" width="10.7109375" style="1" customWidth="1"/>
    <col min="15" max="15" width="2.28515625" style="1" customWidth="1"/>
    <col min="16" max="22" width="8.85546875" style="1" customWidth="1"/>
    <col min="23" max="16384" width="8.7109375" style="1"/>
  </cols>
  <sheetData>
    <row r="1" spans="1:14" ht="11.25" customHeight="1" x14ac:dyDescent="0.2"/>
    <row r="2" spans="1:14" ht="18" customHeight="1" x14ac:dyDescent="0.2">
      <c r="A2" s="2"/>
      <c r="B2" s="77" t="s">
        <v>17</v>
      </c>
      <c r="C2" s="3"/>
      <c r="D2" s="3"/>
      <c r="E2" s="3"/>
      <c r="F2" s="3"/>
      <c r="G2" s="3"/>
      <c r="H2" s="3"/>
      <c r="I2" s="3"/>
      <c r="J2" s="4"/>
      <c r="K2" s="46" t="s">
        <v>2</v>
      </c>
      <c r="L2" s="47">
        <v>2013</v>
      </c>
      <c r="M2" s="47"/>
      <c r="N2" s="26"/>
    </row>
    <row r="3" spans="1:14" ht="21" customHeight="1" x14ac:dyDescent="0.2">
      <c r="A3" s="2"/>
      <c r="B3" s="78"/>
      <c r="C3" s="5" t="s">
        <v>4</v>
      </c>
      <c r="D3" s="5" t="s">
        <v>1</v>
      </c>
      <c r="E3" s="5" t="s">
        <v>5</v>
      </c>
      <c r="F3" s="5" t="s">
        <v>6</v>
      </c>
      <c r="G3" s="5" t="s">
        <v>7</v>
      </c>
      <c r="H3" s="5" t="s">
        <v>0</v>
      </c>
      <c r="I3" s="5" t="s">
        <v>8</v>
      </c>
      <c r="J3" s="6"/>
      <c r="K3" s="48"/>
      <c r="L3" s="49"/>
      <c r="M3" s="49"/>
      <c r="N3" s="27"/>
    </row>
    <row r="4" spans="1:14" ht="18" customHeight="1" x14ac:dyDescent="0.2">
      <c r="A4" s="2"/>
      <c r="B4" s="78"/>
      <c r="C4" s="7">
        <f>IF(DAY(OctDom1)=1,OctDom1-6,OctDom1+1)</f>
        <v>42639</v>
      </c>
      <c r="D4" s="7">
        <f>IF(DAY(OctDom1)=1,OctDom1-5,OctDom1+2)</f>
        <v>42640</v>
      </c>
      <c r="E4" s="7">
        <f>IF(DAY(OctDom1)=1,OctDom1-4,OctDom1+3)</f>
        <v>42641</v>
      </c>
      <c r="F4" s="7">
        <f>IF(DAY(OctDom1)=1,OctDom1-3,OctDom1+4)</f>
        <v>42642</v>
      </c>
      <c r="G4" s="7">
        <f>IF(DAY(OctDom1)=1,OctDom1-2,OctDom1+5)</f>
        <v>42643</v>
      </c>
      <c r="H4" s="7">
        <f>IF(DAY(OctDom1)=1,OctDom1-1,OctDom1+6)</f>
        <v>42644</v>
      </c>
      <c r="I4" s="7">
        <f>IF(DAY(OctDom1)=1,OctDom1,OctDom1+7)</f>
        <v>42645</v>
      </c>
      <c r="J4" s="6"/>
      <c r="K4" s="50" t="s">
        <v>11</v>
      </c>
      <c r="L4" s="8"/>
      <c r="M4" s="94"/>
      <c r="N4" s="95"/>
    </row>
    <row r="5" spans="1:14" ht="18" customHeight="1" x14ac:dyDescent="0.2">
      <c r="A5" s="2"/>
      <c r="B5" s="78"/>
      <c r="C5" s="7">
        <f>IF(DAY(OctDom1)=1,OctDom1+1,OctDom1+8)</f>
        <v>42646</v>
      </c>
      <c r="D5" s="7">
        <f>IF(DAY(OctDom1)=1,OctDom1+2,OctDom1+9)</f>
        <v>42647</v>
      </c>
      <c r="E5" s="7">
        <f>IF(DAY(OctDom1)=1,OctDom1+3,OctDom1+10)</f>
        <v>42648</v>
      </c>
      <c r="F5" s="7">
        <f>IF(DAY(OctDom1)=1,OctDom1+4,OctDom1+11)</f>
        <v>42649</v>
      </c>
      <c r="G5" s="7">
        <f>IF(DAY(OctDom1)=1,OctDom1+5,OctDom1+12)</f>
        <v>42650</v>
      </c>
      <c r="H5" s="7">
        <f>IF(DAY(OctDom1)=1,OctDom1+6,OctDom1+13)</f>
        <v>42651</v>
      </c>
      <c r="I5" s="7">
        <f>IF(DAY(OctDom1)=1,OctDom1+7,OctDom1+14)</f>
        <v>42652</v>
      </c>
      <c r="J5" s="6"/>
      <c r="K5" s="42"/>
      <c r="L5" s="9"/>
      <c r="M5" s="35"/>
      <c r="N5" s="36"/>
    </row>
    <row r="6" spans="1:14" ht="18" customHeight="1" x14ac:dyDescent="0.2">
      <c r="A6" s="2"/>
      <c r="B6" s="78"/>
      <c r="C6" s="7">
        <f>IF(DAY(OctDom1)=1,OctDom1+8,OctDom1+15)</f>
        <v>42653</v>
      </c>
      <c r="D6" s="7">
        <f>IF(DAY(OctDom1)=1,OctDom1+9,OctDom1+16)</f>
        <v>42654</v>
      </c>
      <c r="E6" s="7">
        <f>IF(DAY(OctDom1)=1,OctDom1+10,OctDom1+17)</f>
        <v>42655</v>
      </c>
      <c r="F6" s="7">
        <f>IF(DAY(OctDom1)=1,OctDom1+11,OctDom1+18)</f>
        <v>42656</v>
      </c>
      <c r="G6" s="7">
        <f>IF(DAY(OctDom1)=1,OctDom1+12,OctDom1+19)</f>
        <v>42657</v>
      </c>
      <c r="H6" s="7">
        <f>IF(DAY(OctDom1)=1,OctDom1+13,OctDom1+20)</f>
        <v>42658</v>
      </c>
      <c r="I6" s="7">
        <f>IF(DAY(OctDom1)=1,OctDom1+14,OctDom1+21)</f>
        <v>42659</v>
      </c>
      <c r="J6" s="6"/>
      <c r="K6" s="42"/>
      <c r="L6" s="9"/>
      <c r="M6" s="35"/>
      <c r="N6" s="36"/>
    </row>
    <row r="7" spans="1:14" ht="18" customHeight="1" x14ac:dyDescent="0.2">
      <c r="A7" s="2"/>
      <c r="B7" s="78"/>
      <c r="C7" s="7">
        <f>IF(DAY(OctDom1)=1,OctDom1+15,OctDom1+22)</f>
        <v>42660</v>
      </c>
      <c r="D7" s="7">
        <f>IF(DAY(OctDom1)=1,OctDom1+16,OctDom1+23)</f>
        <v>42661</v>
      </c>
      <c r="E7" s="7">
        <f>IF(DAY(OctDom1)=1,OctDom1+17,OctDom1+24)</f>
        <v>42662</v>
      </c>
      <c r="F7" s="7">
        <f>IF(DAY(OctDom1)=1,OctDom1+18,OctDom1+25)</f>
        <v>42663</v>
      </c>
      <c r="G7" s="7">
        <f>IF(DAY(OctDom1)=1,OctDom1+19,OctDom1+26)</f>
        <v>42664</v>
      </c>
      <c r="H7" s="7">
        <f>IF(DAY(OctDom1)=1,OctDom1+20,OctDom1+27)</f>
        <v>42665</v>
      </c>
      <c r="I7" s="7">
        <f>IF(DAY(OctDom1)=1,OctDom1+21,OctDom1+28)</f>
        <v>42666</v>
      </c>
      <c r="J7" s="6"/>
      <c r="K7" s="10"/>
      <c r="L7" s="9"/>
      <c r="M7" s="35"/>
      <c r="N7" s="36"/>
    </row>
    <row r="8" spans="1:14" ht="18.75" customHeight="1" x14ac:dyDescent="0.2">
      <c r="A8" s="2"/>
      <c r="B8" s="78"/>
      <c r="C8" s="7">
        <f>IF(DAY(OctDom1)=1,OctDom1+22,OctDom1+29)</f>
        <v>42667</v>
      </c>
      <c r="D8" s="7">
        <f>IF(DAY(OctDom1)=1,OctDom1+23,OctDom1+30)</f>
        <v>42668</v>
      </c>
      <c r="E8" s="7">
        <f>IF(DAY(OctDom1)=1,OctDom1+24,OctDom1+31)</f>
        <v>42669</v>
      </c>
      <c r="F8" s="7">
        <f>IF(DAY(OctDom1)=1,OctDom1+25,OctDom1+32)</f>
        <v>42670</v>
      </c>
      <c r="G8" s="7">
        <f>IF(DAY(OctDom1)=1,OctDom1+26,OctDom1+33)</f>
        <v>42671</v>
      </c>
      <c r="H8" s="7">
        <f>IF(DAY(OctDom1)=1,OctDom1+27,OctDom1+34)</f>
        <v>42672</v>
      </c>
      <c r="I8" s="7">
        <f>IF(DAY(OctDom1)=1,OctDom1+28,OctDom1+35)</f>
        <v>42673</v>
      </c>
      <c r="J8" s="6"/>
      <c r="K8" s="10"/>
      <c r="L8" s="9"/>
      <c r="M8" s="35"/>
      <c r="N8" s="36"/>
    </row>
    <row r="9" spans="1:14" ht="18" customHeight="1" x14ac:dyDescent="0.2">
      <c r="A9" s="2"/>
      <c r="B9" s="78"/>
      <c r="C9" s="7">
        <f>IF(DAY(OctDom1)=1,OctDom1+29,OctDom1+36)</f>
        <v>42674</v>
      </c>
      <c r="D9" s="7">
        <f>IF(DAY(OctDom1)=1,OctDom1+30,OctDom1+37)</f>
        <v>42675</v>
      </c>
      <c r="E9" s="7">
        <f>IF(DAY(OctDom1)=1,OctDom1+31,OctDom1+38)</f>
        <v>42676</v>
      </c>
      <c r="F9" s="7">
        <f>IF(DAY(OctDom1)=1,OctDom1+32,OctDom1+39)</f>
        <v>42677</v>
      </c>
      <c r="G9" s="7">
        <f>IF(DAY(OctDom1)=1,OctDom1+33,OctDom1+40)</f>
        <v>42678</v>
      </c>
      <c r="H9" s="7">
        <f>IF(DAY(OctDom1)=1,OctDom1+34,OctDom1+41)</f>
        <v>42679</v>
      </c>
      <c r="I9" s="7">
        <f>IF(DAY(OctDom1)=1,OctDom1+35,OctDom1+42)</f>
        <v>42680</v>
      </c>
      <c r="J9" s="6"/>
      <c r="K9" s="11"/>
      <c r="L9" s="12"/>
      <c r="M9" s="37"/>
      <c r="N9" s="38"/>
    </row>
    <row r="10" spans="1:14" ht="18" customHeight="1" x14ac:dyDescent="0.2">
      <c r="A10" s="2"/>
      <c r="B10" s="79"/>
      <c r="C10" s="13"/>
      <c r="D10" s="13"/>
      <c r="E10" s="13"/>
      <c r="F10" s="13"/>
      <c r="G10" s="13"/>
      <c r="H10" s="13"/>
      <c r="I10" s="13"/>
      <c r="J10" s="14"/>
      <c r="K10" s="41" t="s">
        <v>12</v>
      </c>
      <c r="L10" s="8"/>
      <c r="M10" s="85"/>
      <c r="N10" s="86"/>
    </row>
    <row r="11" spans="1:14" ht="18" customHeight="1" x14ac:dyDescent="0.2">
      <c r="A11" s="2"/>
      <c r="B11" s="80" t="s">
        <v>10</v>
      </c>
      <c r="C11" s="81"/>
      <c r="D11" s="81"/>
      <c r="E11" s="81"/>
      <c r="F11" s="81"/>
      <c r="G11" s="81"/>
      <c r="H11" s="81"/>
      <c r="I11" s="81"/>
      <c r="J11" s="82"/>
      <c r="K11" s="42"/>
      <c r="L11" s="9"/>
      <c r="M11" s="35"/>
      <c r="N11" s="36"/>
    </row>
    <row r="12" spans="1:14" ht="18" customHeight="1" x14ac:dyDescent="0.2">
      <c r="A12" s="2"/>
      <c r="B12" s="80"/>
      <c r="C12" s="81"/>
      <c r="D12" s="81"/>
      <c r="E12" s="81"/>
      <c r="F12" s="81"/>
      <c r="G12" s="81"/>
      <c r="H12" s="81"/>
      <c r="I12" s="81"/>
      <c r="J12" s="82"/>
      <c r="K12" s="42"/>
      <c r="L12" s="9"/>
      <c r="M12" s="35"/>
      <c r="N12" s="36"/>
    </row>
    <row r="13" spans="1:14" ht="18" customHeight="1" x14ac:dyDescent="0.2">
      <c r="B13" s="15" t="s">
        <v>11</v>
      </c>
      <c r="C13" s="106" t="s">
        <v>12</v>
      </c>
      <c r="D13" s="107"/>
      <c r="E13" s="106" t="s">
        <v>13</v>
      </c>
      <c r="F13" s="107"/>
      <c r="G13" s="106" t="s">
        <v>14</v>
      </c>
      <c r="H13" s="107"/>
      <c r="I13" s="106" t="s">
        <v>15</v>
      </c>
      <c r="J13" s="108"/>
      <c r="K13" s="10"/>
      <c r="L13" s="9"/>
      <c r="M13" s="35"/>
      <c r="N13" s="36"/>
    </row>
    <row r="14" spans="1:14" ht="18" customHeight="1" x14ac:dyDescent="0.2">
      <c r="B14" s="23"/>
      <c r="C14" s="59"/>
      <c r="D14" s="60"/>
      <c r="E14" s="59"/>
      <c r="F14" s="60"/>
      <c r="G14" s="59"/>
      <c r="H14" s="60"/>
      <c r="I14" s="59"/>
      <c r="J14" s="65"/>
      <c r="K14" s="10"/>
      <c r="L14" s="9"/>
      <c r="M14" s="35"/>
      <c r="N14" s="36"/>
    </row>
    <row r="15" spans="1:14" ht="18" customHeight="1" x14ac:dyDescent="0.2">
      <c r="B15" s="24"/>
      <c r="C15" s="57"/>
      <c r="D15" s="58"/>
      <c r="E15" s="57"/>
      <c r="F15" s="58"/>
      <c r="G15" s="57"/>
      <c r="H15" s="58"/>
      <c r="I15" s="66"/>
      <c r="J15" s="67"/>
      <c r="K15" s="16"/>
      <c r="L15" s="17"/>
      <c r="M15" s="37"/>
      <c r="N15" s="38"/>
    </row>
    <row r="16" spans="1:14" ht="18" customHeight="1" x14ac:dyDescent="0.2">
      <c r="B16" s="23"/>
      <c r="C16" s="59"/>
      <c r="D16" s="60"/>
      <c r="E16" s="59"/>
      <c r="F16" s="60"/>
      <c r="G16" s="59"/>
      <c r="H16" s="60"/>
      <c r="I16" s="90"/>
      <c r="J16" s="91"/>
      <c r="K16" s="33" t="s">
        <v>13</v>
      </c>
      <c r="L16" s="8"/>
      <c r="M16" s="85"/>
      <c r="N16" s="86"/>
    </row>
    <row r="17" spans="2:14" ht="18" customHeight="1" x14ac:dyDescent="0.2">
      <c r="B17" s="24"/>
      <c r="C17" s="57"/>
      <c r="D17" s="58"/>
      <c r="E17" s="57"/>
      <c r="F17" s="58"/>
      <c r="G17" s="57"/>
      <c r="H17" s="58"/>
      <c r="I17" s="66"/>
      <c r="J17" s="67"/>
      <c r="K17" s="34"/>
      <c r="L17" s="9"/>
      <c r="M17" s="35"/>
      <c r="N17" s="36"/>
    </row>
    <row r="18" spans="2:14" ht="18" customHeight="1" x14ac:dyDescent="0.2">
      <c r="B18" s="25"/>
      <c r="C18" s="63"/>
      <c r="D18" s="64"/>
      <c r="E18" s="63"/>
      <c r="F18" s="64"/>
      <c r="G18" s="63"/>
      <c r="H18" s="64"/>
      <c r="I18" s="63"/>
      <c r="J18" s="76"/>
      <c r="K18" s="34"/>
      <c r="L18" s="9"/>
      <c r="M18" s="35"/>
      <c r="N18" s="36"/>
    </row>
    <row r="19" spans="2:14" ht="18" customHeight="1" x14ac:dyDescent="0.2">
      <c r="B19" s="24"/>
      <c r="C19" s="57"/>
      <c r="D19" s="58"/>
      <c r="E19" s="57"/>
      <c r="F19" s="58"/>
      <c r="G19" s="57"/>
      <c r="H19" s="58"/>
      <c r="I19" s="66"/>
      <c r="J19" s="67"/>
      <c r="K19" s="10"/>
      <c r="L19" s="9"/>
      <c r="M19" s="35"/>
      <c r="N19" s="36"/>
    </row>
    <row r="20" spans="2:14" ht="18" customHeight="1" x14ac:dyDescent="0.2">
      <c r="B20" s="23"/>
      <c r="C20" s="59"/>
      <c r="D20" s="60"/>
      <c r="E20" s="59"/>
      <c r="F20" s="60"/>
      <c r="G20" s="59"/>
      <c r="H20" s="60"/>
      <c r="I20" s="59"/>
      <c r="J20" s="65"/>
      <c r="K20" s="10"/>
      <c r="L20" s="9"/>
      <c r="M20" s="35"/>
      <c r="N20" s="36"/>
    </row>
    <row r="21" spans="2:14" ht="18" customHeight="1" x14ac:dyDescent="0.2">
      <c r="B21" s="24"/>
      <c r="C21" s="57"/>
      <c r="D21" s="58"/>
      <c r="E21" s="57"/>
      <c r="F21" s="58"/>
      <c r="G21" s="57"/>
      <c r="H21" s="58"/>
      <c r="I21" s="104"/>
      <c r="J21" s="105"/>
      <c r="K21" s="16"/>
      <c r="L21" s="17"/>
      <c r="M21" s="37"/>
      <c r="N21" s="38"/>
    </row>
    <row r="22" spans="2:14" ht="18" customHeight="1" x14ac:dyDescent="0.2">
      <c r="B22" s="23"/>
      <c r="C22" s="59"/>
      <c r="D22" s="60"/>
      <c r="E22" s="59"/>
      <c r="F22" s="60"/>
      <c r="G22" s="59"/>
      <c r="H22" s="60"/>
      <c r="I22" s="59"/>
      <c r="J22" s="65"/>
      <c r="K22" s="33" t="s">
        <v>14</v>
      </c>
      <c r="L22" s="8"/>
      <c r="M22" s="85"/>
      <c r="N22" s="86"/>
    </row>
    <row r="23" spans="2:14" ht="18" customHeight="1" x14ac:dyDescent="0.2">
      <c r="B23" s="24"/>
      <c r="C23" s="57"/>
      <c r="D23" s="58"/>
      <c r="E23" s="57"/>
      <c r="F23" s="58"/>
      <c r="G23" s="57"/>
      <c r="H23" s="58"/>
      <c r="I23" s="66"/>
      <c r="J23" s="67"/>
      <c r="K23" s="34"/>
      <c r="L23" s="9"/>
      <c r="M23" s="35"/>
      <c r="N23" s="36"/>
    </row>
    <row r="24" spans="2:14" ht="18" customHeight="1" x14ac:dyDescent="0.2">
      <c r="B24" s="23"/>
      <c r="C24" s="59"/>
      <c r="D24" s="60"/>
      <c r="E24" s="59"/>
      <c r="F24" s="60"/>
      <c r="G24" s="59"/>
      <c r="H24" s="60"/>
      <c r="I24" s="59"/>
      <c r="J24" s="65"/>
      <c r="K24" s="34"/>
      <c r="L24" s="9"/>
      <c r="M24" s="35"/>
      <c r="N24" s="36"/>
    </row>
    <row r="25" spans="2:14" ht="18" customHeight="1" x14ac:dyDescent="0.2">
      <c r="B25" s="24"/>
      <c r="C25" s="57"/>
      <c r="D25" s="58"/>
      <c r="E25" s="57"/>
      <c r="F25" s="58"/>
      <c r="G25" s="57"/>
      <c r="H25" s="58"/>
      <c r="I25" s="66"/>
      <c r="J25" s="67"/>
      <c r="K25" s="34"/>
      <c r="L25" s="9"/>
      <c r="M25" s="35"/>
      <c r="N25" s="36"/>
    </row>
    <row r="26" spans="2:14" ht="18" customHeight="1" x14ac:dyDescent="0.2">
      <c r="B26" s="23"/>
      <c r="C26" s="59"/>
      <c r="D26" s="60"/>
      <c r="E26" s="59"/>
      <c r="F26" s="60"/>
      <c r="G26" s="59"/>
      <c r="H26" s="60"/>
      <c r="I26" s="59"/>
      <c r="J26" s="65"/>
      <c r="K26" s="10"/>
      <c r="L26" s="9"/>
      <c r="M26" s="35"/>
      <c r="N26" s="36"/>
    </row>
    <row r="27" spans="2:14" ht="18" customHeight="1" x14ac:dyDescent="0.2">
      <c r="B27" s="24"/>
      <c r="C27" s="57"/>
      <c r="D27" s="58"/>
      <c r="E27" s="57"/>
      <c r="F27" s="58"/>
      <c r="G27" s="57"/>
      <c r="H27" s="58"/>
      <c r="I27" s="66"/>
      <c r="J27" s="67"/>
      <c r="K27" s="16"/>
      <c r="L27" s="17"/>
      <c r="M27" s="37"/>
      <c r="N27" s="38"/>
    </row>
    <row r="28" spans="2:14" ht="18" customHeight="1" x14ac:dyDescent="0.2">
      <c r="B28" s="23"/>
      <c r="C28" s="59"/>
      <c r="D28" s="60"/>
      <c r="E28" s="59"/>
      <c r="F28" s="60"/>
      <c r="G28" s="59"/>
      <c r="H28" s="60"/>
      <c r="I28" s="59"/>
      <c r="J28" s="65"/>
      <c r="K28" s="41" t="s">
        <v>15</v>
      </c>
      <c r="L28" s="8"/>
      <c r="M28" s="85"/>
      <c r="N28" s="86"/>
    </row>
    <row r="29" spans="2:14" ht="18" customHeight="1" x14ac:dyDescent="0.2">
      <c r="B29" s="24"/>
      <c r="C29" s="57"/>
      <c r="D29" s="58"/>
      <c r="E29" s="57"/>
      <c r="F29" s="58"/>
      <c r="G29" s="57"/>
      <c r="H29" s="58"/>
      <c r="I29" s="57"/>
      <c r="J29" s="89"/>
      <c r="K29" s="42"/>
      <c r="L29" s="9"/>
      <c r="M29" s="35"/>
      <c r="N29" s="36"/>
    </row>
    <row r="30" spans="2:14" ht="18" customHeight="1" x14ac:dyDescent="0.2">
      <c r="B30" s="23"/>
      <c r="C30" s="59"/>
      <c r="D30" s="60"/>
      <c r="E30" s="59"/>
      <c r="F30" s="60"/>
      <c r="G30" s="59"/>
      <c r="H30" s="60"/>
      <c r="I30" s="87"/>
      <c r="J30" s="88"/>
      <c r="K30" s="42"/>
      <c r="L30" s="9"/>
      <c r="M30" s="35"/>
      <c r="N30" s="36"/>
    </row>
    <row r="31" spans="2:14" ht="18" customHeight="1" x14ac:dyDescent="0.2">
      <c r="B31" s="24"/>
      <c r="C31" s="57"/>
      <c r="D31" s="58"/>
      <c r="E31" s="57"/>
      <c r="F31" s="58"/>
      <c r="G31" s="57"/>
      <c r="H31" s="58"/>
      <c r="I31" s="57"/>
      <c r="J31" s="89"/>
      <c r="K31" s="18"/>
      <c r="L31" s="9"/>
      <c r="M31" s="35"/>
      <c r="N31" s="36"/>
    </row>
    <row r="32" spans="2:14" ht="18" customHeight="1" x14ac:dyDescent="0.2">
      <c r="B32" s="23"/>
      <c r="C32" s="59"/>
      <c r="D32" s="60"/>
      <c r="E32" s="59"/>
      <c r="F32" s="60"/>
      <c r="G32" s="59"/>
      <c r="H32" s="60"/>
      <c r="I32" s="90"/>
      <c r="J32" s="91"/>
      <c r="K32" s="18"/>
      <c r="L32" s="9"/>
      <c r="M32" s="35"/>
      <c r="N32" s="36"/>
    </row>
    <row r="33" spans="2:14" ht="18" customHeight="1" x14ac:dyDescent="0.2">
      <c r="B33" s="28"/>
      <c r="C33" s="100"/>
      <c r="D33" s="101"/>
      <c r="E33" s="100"/>
      <c r="F33" s="101"/>
      <c r="G33" s="100"/>
      <c r="H33" s="101"/>
      <c r="I33" s="102"/>
      <c r="J33" s="103"/>
      <c r="K33" s="20"/>
      <c r="L33" s="21"/>
      <c r="M33" s="83"/>
      <c r="N33" s="84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VLOOKUP(DAY(C4),DíasDeTareas,1,FALSE)=DAY(C4)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33"/>
  <sheetViews>
    <sheetView showGridLines="0" zoomScaleNormal="100" zoomScalePageLayoutView="84" workbookViewId="0">
      <selection sqref="A1:XFD1048576"/>
    </sheetView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style="1" customWidth="1"/>
    <col min="13" max="13" width="51.42578125" style="1" customWidth="1"/>
    <col min="14" max="14" width="10.7109375" style="1" customWidth="1"/>
    <col min="15" max="15" width="2.28515625" style="1" customWidth="1"/>
    <col min="16" max="22" width="8.85546875" style="1" customWidth="1"/>
    <col min="23" max="16384" width="8.7109375" style="1"/>
  </cols>
  <sheetData>
    <row r="1" spans="1:14" ht="11.25" customHeight="1" x14ac:dyDescent="0.2"/>
    <row r="2" spans="1:14" ht="18" customHeight="1" x14ac:dyDescent="0.2">
      <c r="A2" s="2"/>
      <c r="B2" s="77" t="s">
        <v>16</v>
      </c>
      <c r="C2" s="3"/>
      <c r="D2" s="3"/>
      <c r="E2" s="3"/>
      <c r="F2" s="3"/>
      <c r="G2" s="3"/>
      <c r="H2" s="3"/>
      <c r="I2" s="3"/>
      <c r="J2" s="4"/>
      <c r="K2" s="46" t="s">
        <v>2</v>
      </c>
      <c r="L2" s="47">
        <v>2013</v>
      </c>
      <c r="M2" s="47"/>
      <c r="N2" s="26"/>
    </row>
    <row r="3" spans="1:14" ht="21" customHeight="1" x14ac:dyDescent="0.2">
      <c r="A3" s="2"/>
      <c r="B3" s="78"/>
      <c r="C3" s="5" t="s">
        <v>4</v>
      </c>
      <c r="D3" s="5" t="s">
        <v>1</v>
      </c>
      <c r="E3" s="5" t="s">
        <v>5</v>
      </c>
      <c r="F3" s="5" t="s">
        <v>6</v>
      </c>
      <c r="G3" s="5" t="s">
        <v>7</v>
      </c>
      <c r="H3" s="5" t="s">
        <v>0</v>
      </c>
      <c r="I3" s="5" t="s">
        <v>8</v>
      </c>
      <c r="J3" s="6"/>
      <c r="K3" s="48"/>
      <c r="L3" s="49"/>
      <c r="M3" s="49"/>
      <c r="N3" s="27"/>
    </row>
    <row r="4" spans="1:14" ht="18" customHeight="1" x14ac:dyDescent="0.2">
      <c r="A4" s="2"/>
      <c r="B4" s="78"/>
      <c r="C4" s="7">
        <f>IF(DAY(NovDom1)=1,NovDom1-6,NovDom1+1)</f>
        <v>42674</v>
      </c>
      <c r="D4" s="7">
        <f>IF(DAY(NovDom1)=1,NovDom1-5,NovDom1+2)</f>
        <v>42675</v>
      </c>
      <c r="E4" s="7">
        <f>IF(DAY(NovDom1)=1,NovDom1-4,NovDom1+3)</f>
        <v>42676</v>
      </c>
      <c r="F4" s="7">
        <f>IF(DAY(NovDom1)=1,NovDom1-3,NovDom1+4)</f>
        <v>42677</v>
      </c>
      <c r="G4" s="7">
        <f>IF(DAY(NovDom1)=1,NovDom1-2,NovDom1+5)</f>
        <v>42678</v>
      </c>
      <c r="H4" s="7">
        <f>IF(DAY(NovDom1)=1,NovDom1-1,NovDom1+6)</f>
        <v>42679</v>
      </c>
      <c r="I4" s="7">
        <f>IF(DAY(NovDom1)=1,NovDom1,NovDom1+7)</f>
        <v>42680</v>
      </c>
      <c r="J4" s="6"/>
      <c r="K4" s="50" t="s">
        <v>11</v>
      </c>
      <c r="L4" s="8"/>
      <c r="M4" s="94"/>
      <c r="N4" s="95"/>
    </row>
    <row r="5" spans="1:14" ht="18" customHeight="1" x14ac:dyDescent="0.2">
      <c r="A5" s="2"/>
      <c r="B5" s="78"/>
      <c r="C5" s="7">
        <f>IF(DAY(NovDom1)=1,NovDom1+1,NovDom1+8)</f>
        <v>42681</v>
      </c>
      <c r="D5" s="7">
        <f>IF(DAY(NovDom1)=1,NovDom1+2,NovDom1+9)</f>
        <v>42682</v>
      </c>
      <c r="E5" s="7">
        <f>IF(DAY(NovDom1)=1,NovDom1+3,NovDom1+10)</f>
        <v>42683</v>
      </c>
      <c r="F5" s="7">
        <f>IF(DAY(NovDom1)=1,NovDom1+4,NovDom1+11)</f>
        <v>42684</v>
      </c>
      <c r="G5" s="7">
        <f>IF(DAY(NovDom1)=1,NovDom1+5,NovDom1+12)</f>
        <v>42685</v>
      </c>
      <c r="H5" s="7">
        <f>IF(DAY(NovDom1)=1,NovDom1+6,NovDom1+13)</f>
        <v>42686</v>
      </c>
      <c r="I5" s="7">
        <f>IF(DAY(NovDom1)=1,NovDom1+7,NovDom1+14)</f>
        <v>42687</v>
      </c>
      <c r="J5" s="6"/>
      <c r="K5" s="42"/>
      <c r="L5" s="9"/>
      <c r="M5" s="35"/>
      <c r="N5" s="36"/>
    </row>
    <row r="6" spans="1:14" ht="18" customHeight="1" x14ac:dyDescent="0.2">
      <c r="A6" s="2"/>
      <c r="B6" s="78"/>
      <c r="C6" s="7">
        <f>IF(DAY(NovDom1)=1,NovDom1+8,NovDom1+15)</f>
        <v>42688</v>
      </c>
      <c r="D6" s="7">
        <f>IF(DAY(NovDom1)=1,NovDom1+9,NovDom1+16)</f>
        <v>42689</v>
      </c>
      <c r="E6" s="7">
        <f>IF(DAY(NovDom1)=1,NovDom1+10,NovDom1+17)</f>
        <v>42690</v>
      </c>
      <c r="F6" s="7">
        <f>IF(DAY(NovDom1)=1,NovDom1+11,NovDom1+18)</f>
        <v>42691</v>
      </c>
      <c r="G6" s="7">
        <f>IF(DAY(NovDom1)=1,NovDom1+12,NovDom1+19)</f>
        <v>42692</v>
      </c>
      <c r="H6" s="7">
        <f>IF(DAY(NovDom1)=1,NovDom1+13,NovDom1+20)</f>
        <v>42693</v>
      </c>
      <c r="I6" s="7">
        <f>IF(DAY(NovDom1)=1,NovDom1+14,NovDom1+21)</f>
        <v>42694</v>
      </c>
      <c r="J6" s="6"/>
      <c r="K6" s="42"/>
      <c r="L6" s="9"/>
      <c r="M6" s="35"/>
      <c r="N6" s="36"/>
    </row>
    <row r="7" spans="1:14" ht="18" customHeight="1" x14ac:dyDescent="0.2">
      <c r="A7" s="2"/>
      <c r="B7" s="78"/>
      <c r="C7" s="7">
        <f>IF(DAY(NovDom1)=1,NovDom1+15,NovDom1+22)</f>
        <v>42695</v>
      </c>
      <c r="D7" s="7">
        <f>IF(DAY(NovDom1)=1,NovDom1+16,NovDom1+23)</f>
        <v>42696</v>
      </c>
      <c r="E7" s="7">
        <f>IF(DAY(NovDom1)=1,NovDom1+17,NovDom1+24)</f>
        <v>42697</v>
      </c>
      <c r="F7" s="7">
        <f>IF(DAY(NovDom1)=1,NovDom1+18,NovDom1+25)</f>
        <v>42698</v>
      </c>
      <c r="G7" s="7">
        <f>IF(DAY(NovDom1)=1,NovDom1+19,NovDom1+26)</f>
        <v>42699</v>
      </c>
      <c r="H7" s="7">
        <f>IF(DAY(NovDom1)=1,NovDom1+20,NovDom1+27)</f>
        <v>42700</v>
      </c>
      <c r="I7" s="7">
        <f>IF(DAY(NovDom1)=1,NovDom1+21,NovDom1+28)</f>
        <v>42701</v>
      </c>
      <c r="J7" s="6"/>
      <c r="K7" s="10"/>
      <c r="L7" s="9"/>
      <c r="M7" s="35"/>
      <c r="N7" s="36"/>
    </row>
    <row r="8" spans="1:14" ht="18.75" customHeight="1" x14ac:dyDescent="0.2">
      <c r="A8" s="2"/>
      <c r="B8" s="78"/>
      <c r="C8" s="7">
        <f>IF(DAY(NovDom1)=1,NovDom1+22,NovDom1+29)</f>
        <v>42702</v>
      </c>
      <c r="D8" s="7">
        <f>IF(DAY(NovDom1)=1,NovDom1+23,NovDom1+30)</f>
        <v>42703</v>
      </c>
      <c r="E8" s="7">
        <f>IF(DAY(NovDom1)=1,NovDom1+24,NovDom1+31)</f>
        <v>42704</v>
      </c>
      <c r="F8" s="7">
        <f>IF(DAY(NovDom1)=1,NovDom1+25,NovDom1+32)</f>
        <v>42705</v>
      </c>
      <c r="G8" s="7">
        <f>IF(DAY(NovDom1)=1,NovDom1+26,NovDom1+33)</f>
        <v>42706</v>
      </c>
      <c r="H8" s="7">
        <f>IF(DAY(NovDom1)=1,NovDom1+27,NovDom1+34)</f>
        <v>42707</v>
      </c>
      <c r="I8" s="7">
        <f>IF(DAY(NovDom1)=1,NovDom1+28,NovDom1+35)</f>
        <v>42708</v>
      </c>
      <c r="J8" s="6"/>
      <c r="K8" s="10"/>
      <c r="L8" s="9"/>
      <c r="M8" s="35"/>
      <c r="N8" s="36"/>
    </row>
    <row r="9" spans="1:14" ht="18" customHeight="1" x14ac:dyDescent="0.2">
      <c r="A9" s="2"/>
      <c r="B9" s="78"/>
      <c r="C9" s="7">
        <f>IF(DAY(NovDom1)=1,NovDom1+29,NovDom1+36)</f>
        <v>42709</v>
      </c>
      <c r="D9" s="7">
        <f>IF(DAY(NovDom1)=1,NovDom1+30,NovDom1+37)</f>
        <v>42710</v>
      </c>
      <c r="E9" s="7">
        <f>IF(DAY(NovDom1)=1,NovDom1+31,NovDom1+38)</f>
        <v>42711</v>
      </c>
      <c r="F9" s="7">
        <f>IF(DAY(NovDom1)=1,NovDom1+32,NovDom1+39)</f>
        <v>42712</v>
      </c>
      <c r="G9" s="7">
        <f>IF(DAY(NovDom1)=1,NovDom1+33,NovDom1+40)</f>
        <v>42713</v>
      </c>
      <c r="H9" s="7">
        <f>IF(DAY(NovDom1)=1,NovDom1+34,NovDom1+41)</f>
        <v>42714</v>
      </c>
      <c r="I9" s="7">
        <f>IF(DAY(NovDom1)=1,NovDom1+35,NovDom1+42)</f>
        <v>42715</v>
      </c>
      <c r="J9" s="6"/>
      <c r="K9" s="11"/>
      <c r="L9" s="12"/>
      <c r="M9" s="37"/>
      <c r="N9" s="38"/>
    </row>
    <row r="10" spans="1:14" ht="18" customHeight="1" x14ac:dyDescent="0.2">
      <c r="A10" s="2"/>
      <c r="B10" s="79"/>
      <c r="C10" s="13"/>
      <c r="D10" s="13"/>
      <c r="E10" s="13"/>
      <c r="F10" s="13"/>
      <c r="G10" s="13"/>
      <c r="H10" s="13"/>
      <c r="I10" s="13"/>
      <c r="J10" s="14"/>
      <c r="K10" s="41" t="s">
        <v>12</v>
      </c>
      <c r="L10" s="8"/>
      <c r="M10" s="85"/>
      <c r="N10" s="86"/>
    </row>
    <row r="11" spans="1:14" ht="18" customHeight="1" x14ac:dyDescent="0.2">
      <c r="A11" s="2"/>
      <c r="B11" s="80" t="s">
        <v>10</v>
      </c>
      <c r="C11" s="81"/>
      <c r="D11" s="81"/>
      <c r="E11" s="81"/>
      <c r="F11" s="81"/>
      <c r="G11" s="81"/>
      <c r="H11" s="81"/>
      <c r="I11" s="81"/>
      <c r="J11" s="82"/>
      <c r="K11" s="42"/>
      <c r="L11" s="9"/>
      <c r="M11" s="35"/>
      <c r="N11" s="36"/>
    </row>
    <row r="12" spans="1:14" ht="18" customHeight="1" x14ac:dyDescent="0.2">
      <c r="A12" s="2"/>
      <c r="B12" s="80"/>
      <c r="C12" s="81"/>
      <c r="D12" s="81"/>
      <c r="E12" s="81"/>
      <c r="F12" s="81"/>
      <c r="G12" s="81"/>
      <c r="H12" s="81"/>
      <c r="I12" s="81"/>
      <c r="J12" s="82"/>
      <c r="K12" s="42"/>
      <c r="L12" s="9"/>
      <c r="M12" s="35"/>
      <c r="N12" s="36"/>
    </row>
    <row r="13" spans="1:14" ht="18" customHeight="1" x14ac:dyDescent="0.2">
      <c r="B13" s="15" t="s">
        <v>11</v>
      </c>
      <c r="C13" s="106" t="s">
        <v>12</v>
      </c>
      <c r="D13" s="107"/>
      <c r="E13" s="106" t="s">
        <v>13</v>
      </c>
      <c r="F13" s="107"/>
      <c r="G13" s="106" t="s">
        <v>14</v>
      </c>
      <c r="H13" s="107"/>
      <c r="I13" s="106" t="s">
        <v>15</v>
      </c>
      <c r="J13" s="108"/>
      <c r="K13" s="10"/>
      <c r="L13" s="9"/>
      <c r="M13" s="35"/>
      <c r="N13" s="36"/>
    </row>
    <row r="14" spans="1:14" ht="18" customHeight="1" x14ac:dyDescent="0.2">
      <c r="B14" s="23"/>
      <c r="C14" s="59"/>
      <c r="D14" s="60"/>
      <c r="E14" s="59"/>
      <c r="F14" s="60"/>
      <c r="G14" s="59"/>
      <c r="H14" s="60"/>
      <c r="I14" s="59"/>
      <c r="J14" s="65"/>
      <c r="K14" s="10"/>
      <c r="L14" s="9"/>
      <c r="M14" s="35"/>
      <c r="N14" s="36"/>
    </row>
    <row r="15" spans="1:14" ht="18" customHeight="1" x14ac:dyDescent="0.2">
      <c r="B15" s="24"/>
      <c r="C15" s="57"/>
      <c r="D15" s="58"/>
      <c r="E15" s="57"/>
      <c r="F15" s="58"/>
      <c r="G15" s="57"/>
      <c r="H15" s="58"/>
      <c r="I15" s="66"/>
      <c r="J15" s="67"/>
      <c r="K15" s="16"/>
      <c r="L15" s="17"/>
      <c r="M15" s="37"/>
      <c r="N15" s="38"/>
    </row>
    <row r="16" spans="1:14" ht="18" customHeight="1" x14ac:dyDescent="0.2">
      <c r="B16" s="23"/>
      <c r="C16" s="59"/>
      <c r="D16" s="60"/>
      <c r="E16" s="59"/>
      <c r="F16" s="60"/>
      <c r="G16" s="59"/>
      <c r="H16" s="60"/>
      <c r="I16" s="90"/>
      <c r="J16" s="91"/>
      <c r="K16" s="33" t="s">
        <v>13</v>
      </c>
      <c r="L16" s="8"/>
      <c r="M16" s="85"/>
      <c r="N16" s="86"/>
    </row>
    <row r="17" spans="2:14" ht="18" customHeight="1" x14ac:dyDescent="0.2">
      <c r="B17" s="24"/>
      <c r="C17" s="57"/>
      <c r="D17" s="58"/>
      <c r="E17" s="57"/>
      <c r="F17" s="58"/>
      <c r="G17" s="57"/>
      <c r="H17" s="58"/>
      <c r="I17" s="66"/>
      <c r="J17" s="67"/>
      <c r="K17" s="34"/>
      <c r="L17" s="9"/>
      <c r="M17" s="35"/>
      <c r="N17" s="36"/>
    </row>
    <row r="18" spans="2:14" ht="18" customHeight="1" x14ac:dyDescent="0.2">
      <c r="B18" s="25"/>
      <c r="C18" s="63"/>
      <c r="D18" s="64"/>
      <c r="E18" s="63"/>
      <c r="F18" s="64"/>
      <c r="G18" s="63"/>
      <c r="H18" s="64"/>
      <c r="I18" s="63"/>
      <c r="J18" s="76"/>
      <c r="K18" s="34"/>
      <c r="L18" s="9"/>
      <c r="M18" s="35"/>
      <c r="N18" s="36"/>
    </row>
    <row r="19" spans="2:14" ht="18" customHeight="1" x14ac:dyDescent="0.2">
      <c r="B19" s="24"/>
      <c r="C19" s="57"/>
      <c r="D19" s="58"/>
      <c r="E19" s="57"/>
      <c r="F19" s="58"/>
      <c r="G19" s="57"/>
      <c r="H19" s="58"/>
      <c r="I19" s="66"/>
      <c r="J19" s="67"/>
      <c r="K19" s="10"/>
      <c r="L19" s="9"/>
      <c r="M19" s="35"/>
      <c r="N19" s="36"/>
    </row>
    <row r="20" spans="2:14" ht="18" customHeight="1" x14ac:dyDescent="0.2">
      <c r="B20" s="23"/>
      <c r="C20" s="59"/>
      <c r="D20" s="60"/>
      <c r="E20" s="59"/>
      <c r="F20" s="60"/>
      <c r="G20" s="59"/>
      <c r="H20" s="60"/>
      <c r="I20" s="59"/>
      <c r="J20" s="65"/>
      <c r="K20" s="10"/>
      <c r="L20" s="9"/>
      <c r="M20" s="35"/>
      <c r="N20" s="36"/>
    </row>
    <row r="21" spans="2:14" ht="18" customHeight="1" x14ac:dyDescent="0.2">
      <c r="B21" s="24"/>
      <c r="C21" s="57"/>
      <c r="D21" s="58"/>
      <c r="E21" s="57"/>
      <c r="F21" s="58"/>
      <c r="G21" s="57"/>
      <c r="H21" s="58"/>
      <c r="I21" s="104"/>
      <c r="J21" s="105"/>
      <c r="K21" s="16"/>
      <c r="L21" s="17"/>
      <c r="M21" s="37"/>
      <c r="N21" s="38"/>
    </row>
    <row r="22" spans="2:14" ht="18" customHeight="1" x14ac:dyDescent="0.2">
      <c r="B22" s="23"/>
      <c r="C22" s="59"/>
      <c r="D22" s="60"/>
      <c r="E22" s="59"/>
      <c r="F22" s="60"/>
      <c r="G22" s="59"/>
      <c r="H22" s="60"/>
      <c r="I22" s="59"/>
      <c r="J22" s="65"/>
      <c r="K22" s="33" t="s">
        <v>14</v>
      </c>
      <c r="L22" s="8"/>
      <c r="M22" s="85"/>
      <c r="N22" s="86"/>
    </row>
    <row r="23" spans="2:14" ht="18" customHeight="1" x14ac:dyDescent="0.2">
      <c r="B23" s="24"/>
      <c r="C23" s="57"/>
      <c r="D23" s="58"/>
      <c r="E23" s="57"/>
      <c r="F23" s="58"/>
      <c r="G23" s="57"/>
      <c r="H23" s="58"/>
      <c r="I23" s="66"/>
      <c r="J23" s="67"/>
      <c r="K23" s="34"/>
      <c r="L23" s="9"/>
      <c r="M23" s="35"/>
      <c r="N23" s="36"/>
    </row>
    <row r="24" spans="2:14" ht="18" customHeight="1" x14ac:dyDescent="0.2">
      <c r="B24" s="23"/>
      <c r="C24" s="59"/>
      <c r="D24" s="60"/>
      <c r="E24" s="59"/>
      <c r="F24" s="60"/>
      <c r="G24" s="59"/>
      <c r="H24" s="60"/>
      <c r="I24" s="59"/>
      <c r="J24" s="65"/>
      <c r="K24" s="34"/>
      <c r="L24" s="9"/>
      <c r="M24" s="35"/>
      <c r="N24" s="36"/>
    </row>
    <row r="25" spans="2:14" ht="18" customHeight="1" x14ac:dyDescent="0.2">
      <c r="B25" s="24"/>
      <c r="C25" s="57"/>
      <c r="D25" s="58"/>
      <c r="E25" s="57"/>
      <c r="F25" s="58"/>
      <c r="G25" s="57"/>
      <c r="H25" s="58"/>
      <c r="I25" s="66"/>
      <c r="J25" s="67"/>
      <c r="K25" s="34"/>
      <c r="L25" s="9"/>
      <c r="M25" s="35"/>
      <c r="N25" s="36"/>
    </row>
    <row r="26" spans="2:14" ht="18" customHeight="1" x14ac:dyDescent="0.2">
      <c r="B26" s="23"/>
      <c r="C26" s="59"/>
      <c r="D26" s="60"/>
      <c r="E26" s="59"/>
      <c r="F26" s="60"/>
      <c r="G26" s="59"/>
      <c r="H26" s="60"/>
      <c r="I26" s="59"/>
      <c r="J26" s="65"/>
      <c r="K26" s="10"/>
      <c r="L26" s="9"/>
      <c r="M26" s="35"/>
      <c r="N26" s="36"/>
    </row>
    <row r="27" spans="2:14" ht="18" customHeight="1" x14ac:dyDescent="0.2">
      <c r="B27" s="24"/>
      <c r="C27" s="57"/>
      <c r="D27" s="58"/>
      <c r="E27" s="57"/>
      <c r="F27" s="58"/>
      <c r="G27" s="57"/>
      <c r="H27" s="58"/>
      <c r="I27" s="66"/>
      <c r="J27" s="67"/>
      <c r="K27" s="16"/>
      <c r="L27" s="17"/>
      <c r="M27" s="37"/>
      <c r="N27" s="38"/>
    </row>
    <row r="28" spans="2:14" ht="18" customHeight="1" x14ac:dyDescent="0.2">
      <c r="B28" s="23"/>
      <c r="C28" s="59"/>
      <c r="D28" s="60"/>
      <c r="E28" s="59"/>
      <c r="F28" s="60"/>
      <c r="G28" s="59"/>
      <c r="H28" s="60"/>
      <c r="I28" s="59"/>
      <c r="J28" s="65"/>
      <c r="K28" s="41" t="s">
        <v>15</v>
      </c>
      <c r="L28" s="8"/>
      <c r="M28" s="85"/>
      <c r="N28" s="86"/>
    </row>
    <row r="29" spans="2:14" ht="18" customHeight="1" x14ac:dyDescent="0.2">
      <c r="B29" s="24"/>
      <c r="C29" s="57"/>
      <c r="D29" s="58"/>
      <c r="E29" s="57"/>
      <c r="F29" s="58"/>
      <c r="G29" s="57"/>
      <c r="H29" s="58"/>
      <c r="I29" s="57"/>
      <c r="J29" s="89"/>
      <c r="K29" s="42"/>
      <c r="L29" s="9"/>
      <c r="M29" s="35"/>
      <c r="N29" s="36"/>
    </row>
    <row r="30" spans="2:14" ht="18" customHeight="1" x14ac:dyDescent="0.2">
      <c r="B30" s="23"/>
      <c r="C30" s="59"/>
      <c r="D30" s="60"/>
      <c r="E30" s="59"/>
      <c r="F30" s="60"/>
      <c r="G30" s="59"/>
      <c r="H30" s="60"/>
      <c r="I30" s="87"/>
      <c r="J30" s="88"/>
      <c r="K30" s="42"/>
      <c r="L30" s="9"/>
      <c r="M30" s="35"/>
      <c r="N30" s="36"/>
    </row>
    <row r="31" spans="2:14" ht="18" customHeight="1" x14ac:dyDescent="0.2">
      <c r="B31" s="24"/>
      <c r="C31" s="57"/>
      <c r="D31" s="58"/>
      <c r="E31" s="57"/>
      <c r="F31" s="58"/>
      <c r="G31" s="57"/>
      <c r="H31" s="58"/>
      <c r="I31" s="57"/>
      <c r="J31" s="89"/>
      <c r="K31" s="18"/>
      <c r="L31" s="9"/>
      <c r="M31" s="35"/>
      <c r="N31" s="36"/>
    </row>
    <row r="32" spans="2:14" ht="18" customHeight="1" x14ac:dyDescent="0.2">
      <c r="B32" s="23"/>
      <c r="C32" s="59"/>
      <c r="D32" s="60"/>
      <c r="E32" s="59"/>
      <c r="F32" s="60"/>
      <c r="G32" s="59"/>
      <c r="H32" s="60"/>
      <c r="I32" s="90"/>
      <c r="J32" s="91"/>
      <c r="K32" s="18"/>
      <c r="L32" s="9"/>
      <c r="M32" s="35"/>
      <c r="N32" s="36"/>
    </row>
    <row r="33" spans="2:14" ht="18" customHeight="1" x14ac:dyDescent="0.2">
      <c r="B33" s="28"/>
      <c r="C33" s="100"/>
      <c r="D33" s="101"/>
      <c r="E33" s="100"/>
      <c r="F33" s="101"/>
      <c r="G33" s="100"/>
      <c r="H33" s="101"/>
      <c r="I33" s="102"/>
      <c r="J33" s="103"/>
      <c r="K33" s="20"/>
      <c r="L33" s="21"/>
      <c r="M33" s="83"/>
      <c r="N33" s="84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VLOOKUP(DAY(C4),DíasDeTareas,1,FALSE)=DAY(C4)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33"/>
  <sheetViews>
    <sheetView showGridLines="0" zoomScaleNormal="100" zoomScalePageLayoutView="84" workbookViewId="0">
      <selection activeCell="G20" sqref="G20:H20"/>
    </sheetView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style="1" customWidth="1"/>
    <col min="13" max="13" width="51.42578125" style="1" customWidth="1"/>
    <col min="14" max="14" width="10.7109375" style="1" customWidth="1"/>
    <col min="15" max="15" width="2.28515625" style="1" customWidth="1"/>
    <col min="16" max="22" width="8.85546875" style="1" customWidth="1"/>
    <col min="23" max="16384" width="8.7109375" style="1"/>
  </cols>
  <sheetData>
    <row r="1" spans="1:14" ht="11.25" customHeight="1" x14ac:dyDescent="0.2"/>
    <row r="2" spans="1:14" ht="18" customHeight="1" x14ac:dyDescent="0.2">
      <c r="A2" s="2"/>
      <c r="B2" s="77" t="s">
        <v>9</v>
      </c>
      <c r="C2" s="3"/>
      <c r="D2" s="3"/>
      <c r="E2" s="3"/>
      <c r="F2" s="3"/>
      <c r="G2" s="3"/>
      <c r="H2" s="3"/>
      <c r="I2" s="3"/>
      <c r="J2" s="4"/>
      <c r="K2" s="46" t="s">
        <v>2</v>
      </c>
      <c r="L2" s="47">
        <v>2013</v>
      </c>
      <c r="M2" s="47"/>
      <c r="N2" s="26"/>
    </row>
    <row r="3" spans="1:14" ht="21" customHeight="1" x14ac:dyDescent="0.2">
      <c r="A3" s="2"/>
      <c r="B3" s="78"/>
      <c r="C3" s="5" t="s">
        <v>4</v>
      </c>
      <c r="D3" s="5" t="s">
        <v>1</v>
      </c>
      <c r="E3" s="5" t="s">
        <v>5</v>
      </c>
      <c r="F3" s="5" t="s">
        <v>6</v>
      </c>
      <c r="G3" s="5" t="s">
        <v>7</v>
      </c>
      <c r="H3" s="5" t="s">
        <v>0</v>
      </c>
      <c r="I3" s="5" t="s">
        <v>8</v>
      </c>
      <c r="J3" s="6"/>
      <c r="K3" s="48"/>
      <c r="L3" s="49"/>
      <c r="M3" s="49"/>
      <c r="N3" s="27"/>
    </row>
    <row r="4" spans="1:14" ht="18" customHeight="1" x14ac:dyDescent="0.2">
      <c r="A4" s="2"/>
      <c r="B4" s="78"/>
      <c r="C4" s="7">
        <f>IF(DAY(DicDom1)=1,DicDom1-6,DicDom1+1)</f>
        <v>42702</v>
      </c>
      <c r="D4" s="7">
        <f>IF(DAY(DicDom1)=1,DicDom1-5,DicDom1+2)</f>
        <v>42703</v>
      </c>
      <c r="E4" s="7">
        <f>IF(DAY(DicDom1)=1,DicDom1-4,DicDom1+3)</f>
        <v>42704</v>
      </c>
      <c r="F4" s="7">
        <f>IF(DAY(DicDom1)=1,DicDom1-3,DicDom1+4)</f>
        <v>42705</v>
      </c>
      <c r="G4" s="7">
        <f>IF(DAY(DicDom1)=1,DicDom1-2,DicDom1+5)</f>
        <v>42706</v>
      </c>
      <c r="H4" s="7">
        <f>IF(DAY(DicDom1)=1,DicDom1-1,DicDom1+6)</f>
        <v>42707</v>
      </c>
      <c r="I4" s="7">
        <f>IF(DAY(DicDom1)=1,DicDom1,DicDom1+7)</f>
        <v>42708</v>
      </c>
      <c r="J4" s="6"/>
      <c r="K4" s="50" t="s">
        <v>11</v>
      </c>
      <c r="L4" s="8"/>
      <c r="M4" s="94"/>
      <c r="N4" s="95"/>
    </row>
    <row r="5" spans="1:14" ht="18" customHeight="1" x14ac:dyDescent="0.2">
      <c r="A5" s="2"/>
      <c r="B5" s="78"/>
      <c r="C5" s="7">
        <f>IF(DAY(DicDom1)=1,DicDom1+1,DicDom1+8)</f>
        <v>42709</v>
      </c>
      <c r="D5" s="7">
        <f>IF(DAY(DicDom1)=1,DicDom1+2,DicDom1+9)</f>
        <v>42710</v>
      </c>
      <c r="E5" s="7">
        <f>IF(DAY(DicDom1)=1,DicDom1+3,DicDom1+10)</f>
        <v>42711</v>
      </c>
      <c r="F5" s="7">
        <f>IF(DAY(DicDom1)=1,DicDom1+4,DicDom1+11)</f>
        <v>42712</v>
      </c>
      <c r="G5" s="7">
        <f>IF(DAY(DicDom1)=1,DicDom1+5,DicDom1+12)</f>
        <v>42713</v>
      </c>
      <c r="H5" s="7">
        <f>IF(DAY(DicDom1)=1,DicDom1+6,DicDom1+13)</f>
        <v>42714</v>
      </c>
      <c r="I5" s="7">
        <f>IF(DAY(DicDom1)=1,DicDom1+7,DicDom1+14)</f>
        <v>42715</v>
      </c>
      <c r="J5" s="6"/>
      <c r="K5" s="42"/>
      <c r="L5" s="9"/>
      <c r="M5" s="35"/>
      <c r="N5" s="36"/>
    </row>
    <row r="6" spans="1:14" ht="18" customHeight="1" x14ac:dyDescent="0.2">
      <c r="A6" s="2"/>
      <c r="B6" s="78"/>
      <c r="C6" s="7">
        <f>IF(DAY(DicDom1)=1,DicDom1+8,DicDom1+15)</f>
        <v>42716</v>
      </c>
      <c r="D6" s="7">
        <f>IF(DAY(DicDom1)=1,DicDom1+9,DicDom1+16)</f>
        <v>42717</v>
      </c>
      <c r="E6" s="7">
        <f>IF(DAY(DicDom1)=1,DicDom1+10,DicDom1+17)</f>
        <v>42718</v>
      </c>
      <c r="F6" s="7">
        <f>IF(DAY(DicDom1)=1,DicDom1+11,DicDom1+18)</f>
        <v>42719</v>
      </c>
      <c r="G6" s="7">
        <f>IF(DAY(DicDom1)=1,DicDom1+12,DicDom1+19)</f>
        <v>42720</v>
      </c>
      <c r="H6" s="7">
        <f>IF(DAY(DicDom1)=1,DicDom1+13,DicDom1+20)</f>
        <v>42721</v>
      </c>
      <c r="I6" s="7">
        <f>IF(DAY(DicDom1)=1,DicDom1+14,DicDom1+21)</f>
        <v>42722</v>
      </c>
      <c r="J6" s="6"/>
      <c r="K6" s="42"/>
      <c r="L6" s="9"/>
      <c r="M6" s="35"/>
      <c r="N6" s="36"/>
    </row>
    <row r="7" spans="1:14" ht="18" customHeight="1" x14ac:dyDescent="0.2">
      <c r="A7" s="2"/>
      <c r="B7" s="78"/>
      <c r="C7" s="7">
        <f>IF(DAY(DicDom1)=1,DicDom1+15,DicDom1+22)</f>
        <v>42723</v>
      </c>
      <c r="D7" s="7">
        <f>IF(DAY(DicDom1)=1,DicDom1+16,DicDom1+23)</f>
        <v>42724</v>
      </c>
      <c r="E7" s="7">
        <f>IF(DAY(DicDom1)=1,DicDom1+17,DicDom1+24)</f>
        <v>42725</v>
      </c>
      <c r="F7" s="7">
        <f>IF(DAY(DicDom1)=1,DicDom1+18,DicDom1+25)</f>
        <v>42726</v>
      </c>
      <c r="G7" s="7">
        <f>IF(DAY(DicDom1)=1,DicDom1+19,DicDom1+26)</f>
        <v>42727</v>
      </c>
      <c r="H7" s="7">
        <f>IF(DAY(DicDom1)=1,DicDom1+20,DicDom1+27)</f>
        <v>42728</v>
      </c>
      <c r="I7" s="7">
        <f>IF(DAY(DicDom1)=1,DicDom1+21,DicDom1+28)</f>
        <v>42729</v>
      </c>
      <c r="J7" s="6"/>
      <c r="K7" s="10"/>
      <c r="L7" s="9"/>
      <c r="M7" s="35"/>
      <c r="N7" s="36"/>
    </row>
    <row r="8" spans="1:14" ht="18.75" customHeight="1" x14ac:dyDescent="0.2">
      <c r="A8" s="2"/>
      <c r="B8" s="78"/>
      <c r="C8" s="7">
        <f>IF(DAY(DicDom1)=1,DicDom1+22,DicDom1+29)</f>
        <v>42730</v>
      </c>
      <c r="D8" s="7">
        <f>IF(DAY(DicDom1)=1,DicDom1+23,DicDom1+30)</f>
        <v>42731</v>
      </c>
      <c r="E8" s="7">
        <f>IF(DAY(DicDom1)=1,DicDom1+24,DicDom1+31)</f>
        <v>42732</v>
      </c>
      <c r="F8" s="7">
        <f>IF(DAY(DicDom1)=1,DicDom1+25,DicDom1+32)</f>
        <v>42733</v>
      </c>
      <c r="G8" s="7">
        <f>IF(DAY(DicDom1)=1,DicDom1+26,DicDom1+33)</f>
        <v>42734</v>
      </c>
      <c r="H8" s="7">
        <f>IF(DAY(DicDom1)=1,DicDom1+27,DicDom1+34)</f>
        <v>42735</v>
      </c>
      <c r="I8" s="7">
        <f>IF(DAY(DicDom1)=1,DicDom1+28,DicDom1+35)</f>
        <v>42736</v>
      </c>
      <c r="J8" s="6"/>
      <c r="K8" s="10"/>
      <c r="L8" s="9"/>
      <c r="M8" s="35"/>
      <c r="N8" s="36"/>
    </row>
    <row r="9" spans="1:14" ht="18" customHeight="1" x14ac:dyDescent="0.2">
      <c r="A9" s="2"/>
      <c r="B9" s="78"/>
      <c r="C9" s="7">
        <f>IF(DAY(DicDom1)=1,DicDom1+29,DicDom1+36)</f>
        <v>42737</v>
      </c>
      <c r="D9" s="7">
        <f>IF(DAY(DicDom1)=1,DicDom1+30,DicDom1+37)</f>
        <v>42738</v>
      </c>
      <c r="E9" s="7">
        <f>IF(DAY(DicDom1)=1,DicDom1+31,DicDom1+38)</f>
        <v>42739</v>
      </c>
      <c r="F9" s="7">
        <f>IF(DAY(DicDom1)=1,DicDom1+32,DicDom1+39)</f>
        <v>42740</v>
      </c>
      <c r="G9" s="7">
        <f>IF(DAY(DicDom1)=1,DicDom1+33,DicDom1+40)</f>
        <v>42741</v>
      </c>
      <c r="H9" s="7">
        <f>IF(DAY(DicDom1)=1,DicDom1+34,DicDom1+41)</f>
        <v>42742</v>
      </c>
      <c r="I9" s="7">
        <f>IF(DAY(DicDom1)=1,DicDom1+35,DicDom1+42)</f>
        <v>42743</v>
      </c>
      <c r="J9" s="6"/>
      <c r="K9" s="11"/>
      <c r="L9" s="12"/>
      <c r="M9" s="37"/>
      <c r="N9" s="38"/>
    </row>
    <row r="10" spans="1:14" ht="18" customHeight="1" x14ac:dyDescent="0.2">
      <c r="A10" s="2"/>
      <c r="B10" s="79"/>
      <c r="C10" s="13"/>
      <c r="D10" s="13"/>
      <c r="E10" s="13"/>
      <c r="F10" s="13"/>
      <c r="G10" s="13"/>
      <c r="H10" s="13"/>
      <c r="I10" s="13"/>
      <c r="J10" s="14"/>
      <c r="K10" s="41" t="s">
        <v>12</v>
      </c>
      <c r="L10" s="8"/>
      <c r="M10" s="85"/>
      <c r="N10" s="86"/>
    </row>
    <row r="11" spans="1:14" ht="18" customHeight="1" x14ac:dyDescent="0.2">
      <c r="A11" s="2"/>
      <c r="B11" s="80" t="s">
        <v>10</v>
      </c>
      <c r="C11" s="81"/>
      <c r="D11" s="81"/>
      <c r="E11" s="81"/>
      <c r="F11" s="81"/>
      <c r="G11" s="81"/>
      <c r="H11" s="81"/>
      <c r="I11" s="81"/>
      <c r="J11" s="82"/>
      <c r="K11" s="42"/>
      <c r="L11" s="9"/>
      <c r="M11" s="35"/>
      <c r="N11" s="36"/>
    </row>
    <row r="12" spans="1:14" ht="18" customHeight="1" x14ac:dyDescent="0.2">
      <c r="A12" s="2"/>
      <c r="B12" s="80"/>
      <c r="C12" s="81"/>
      <c r="D12" s="81"/>
      <c r="E12" s="81"/>
      <c r="F12" s="81"/>
      <c r="G12" s="81"/>
      <c r="H12" s="81"/>
      <c r="I12" s="81"/>
      <c r="J12" s="82"/>
      <c r="K12" s="42"/>
      <c r="L12" s="9"/>
      <c r="M12" s="35"/>
      <c r="N12" s="36"/>
    </row>
    <row r="13" spans="1:14" ht="18" customHeight="1" x14ac:dyDescent="0.2">
      <c r="B13" s="22" t="s">
        <v>11</v>
      </c>
      <c r="C13" s="43" t="s">
        <v>12</v>
      </c>
      <c r="D13" s="45"/>
      <c r="E13" s="43" t="s">
        <v>13</v>
      </c>
      <c r="F13" s="45"/>
      <c r="G13" s="43" t="s">
        <v>14</v>
      </c>
      <c r="H13" s="45"/>
      <c r="I13" s="43" t="s">
        <v>15</v>
      </c>
      <c r="J13" s="44"/>
      <c r="K13" s="10"/>
      <c r="L13" s="9"/>
      <c r="M13" s="35"/>
      <c r="N13" s="36"/>
    </row>
    <row r="14" spans="1:14" ht="18" customHeight="1" x14ac:dyDescent="0.2">
      <c r="B14" s="23"/>
      <c r="C14" s="59"/>
      <c r="D14" s="60"/>
      <c r="E14" s="59"/>
      <c r="F14" s="60"/>
      <c r="G14" s="59"/>
      <c r="H14" s="60"/>
      <c r="I14" s="59"/>
      <c r="J14" s="65"/>
      <c r="K14" s="10"/>
      <c r="L14" s="9"/>
      <c r="M14" s="35"/>
      <c r="N14" s="36"/>
    </row>
    <row r="15" spans="1:14" ht="18" customHeight="1" x14ac:dyDescent="0.2">
      <c r="B15" s="24"/>
      <c r="C15" s="57"/>
      <c r="D15" s="58"/>
      <c r="E15" s="57"/>
      <c r="F15" s="58"/>
      <c r="G15" s="57"/>
      <c r="H15" s="58"/>
      <c r="I15" s="66"/>
      <c r="J15" s="67"/>
      <c r="K15" s="16"/>
      <c r="L15" s="17"/>
      <c r="M15" s="37"/>
      <c r="N15" s="38"/>
    </row>
    <row r="16" spans="1:14" ht="18" customHeight="1" x14ac:dyDescent="0.2">
      <c r="B16" s="23"/>
      <c r="C16" s="59"/>
      <c r="D16" s="60"/>
      <c r="E16" s="59"/>
      <c r="F16" s="60"/>
      <c r="G16" s="59"/>
      <c r="H16" s="60"/>
      <c r="I16" s="90"/>
      <c r="J16" s="91"/>
      <c r="K16" s="33" t="s">
        <v>13</v>
      </c>
      <c r="L16" s="8"/>
      <c r="M16" s="85"/>
      <c r="N16" s="86"/>
    </row>
    <row r="17" spans="2:14" ht="18" customHeight="1" x14ac:dyDescent="0.2">
      <c r="B17" s="24"/>
      <c r="C17" s="57"/>
      <c r="D17" s="58"/>
      <c r="E17" s="57"/>
      <c r="F17" s="58"/>
      <c r="G17" s="57"/>
      <c r="H17" s="58"/>
      <c r="I17" s="66"/>
      <c r="J17" s="67"/>
      <c r="K17" s="34"/>
      <c r="L17" s="9"/>
      <c r="M17" s="35"/>
      <c r="N17" s="36"/>
    </row>
    <row r="18" spans="2:14" ht="18" customHeight="1" x14ac:dyDescent="0.2">
      <c r="B18" s="25"/>
      <c r="C18" s="63"/>
      <c r="D18" s="64"/>
      <c r="E18" s="63"/>
      <c r="F18" s="64"/>
      <c r="G18" s="63"/>
      <c r="H18" s="64"/>
      <c r="I18" s="63"/>
      <c r="J18" s="76"/>
      <c r="K18" s="34"/>
      <c r="L18" s="9"/>
      <c r="M18" s="35"/>
      <c r="N18" s="36"/>
    </row>
    <row r="19" spans="2:14" ht="18" customHeight="1" x14ac:dyDescent="0.2">
      <c r="B19" s="24"/>
      <c r="C19" s="57"/>
      <c r="D19" s="58"/>
      <c r="E19" s="57"/>
      <c r="F19" s="58"/>
      <c r="G19" s="57"/>
      <c r="H19" s="58"/>
      <c r="I19" s="66"/>
      <c r="J19" s="67"/>
      <c r="K19" s="10"/>
      <c r="L19" s="9"/>
      <c r="M19" s="35"/>
      <c r="N19" s="36"/>
    </row>
    <row r="20" spans="2:14" ht="18" customHeight="1" x14ac:dyDescent="0.2">
      <c r="B20" s="23"/>
      <c r="C20" s="59"/>
      <c r="D20" s="60"/>
      <c r="E20" s="59"/>
      <c r="F20" s="60"/>
      <c r="G20" s="59"/>
      <c r="H20" s="60"/>
      <c r="I20" s="59"/>
      <c r="J20" s="65"/>
      <c r="K20" s="10"/>
      <c r="L20" s="9"/>
      <c r="M20" s="35"/>
      <c r="N20" s="36"/>
    </row>
    <row r="21" spans="2:14" ht="18" customHeight="1" x14ac:dyDescent="0.2">
      <c r="B21" s="24"/>
      <c r="C21" s="57"/>
      <c r="D21" s="58"/>
      <c r="E21" s="57"/>
      <c r="F21" s="58"/>
      <c r="G21" s="57"/>
      <c r="H21" s="58"/>
      <c r="I21" s="104"/>
      <c r="J21" s="105"/>
      <c r="K21" s="16"/>
      <c r="L21" s="17"/>
      <c r="M21" s="37"/>
      <c r="N21" s="38"/>
    </row>
    <row r="22" spans="2:14" ht="18" customHeight="1" x14ac:dyDescent="0.2">
      <c r="B22" s="23"/>
      <c r="C22" s="59"/>
      <c r="D22" s="60"/>
      <c r="E22" s="59"/>
      <c r="F22" s="60"/>
      <c r="G22" s="59"/>
      <c r="H22" s="60"/>
      <c r="I22" s="59"/>
      <c r="J22" s="65"/>
      <c r="K22" s="33" t="s">
        <v>14</v>
      </c>
      <c r="L22" s="8"/>
      <c r="M22" s="85"/>
      <c r="N22" s="86"/>
    </row>
    <row r="23" spans="2:14" ht="18" customHeight="1" x14ac:dyDescent="0.2">
      <c r="B23" s="24"/>
      <c r="C23" s="57"/>
      <c r="D23" s="58"/>
      <c r="E23" s="57"/>
      <c r="F23" s="58"/>
      <c r="G23" s="57"/>
      <c r="H23" s="58"/>
      <c r="I23" s="66"/>
      <c r="J23" s="67"/>
      <c r="K23" s="34"/>
      <c r="L23" s="9"/>
      <c r="M23" s="35"/>
      <c r="N23" s="36"/>
    </row>
    <row r="24" spans="2:14" ht="18" customHeight="1" x14ac:dyDescent="0.2">
      <c r="B24" s="23"/>
      <c r="C24" s="59"/>
      <c r="D24" s="60"/>
      <c r="E24" s="59"/>
      <c r="F24" s="60"/>
      <c r="G24" s="59"/>
      <c r="H24" s="60"/>
      <c r="I24" s="59"/>
      <c r="J24" s="65"/>
      <c r="K24" s="34"/>
      <c r="L24" s="9"/>
      <c r="M24" s="35"/>
      <c r="N24" s="36"/>
    </row>
    <row r="25" spans="2:14" ht="18" customHeight="1" x14ac:dyDescent="0.2">
      <c r="B25" s="24"/>
      <c r="C25" s="57"/>
      <c r="D25" s="58"/>
      <c r="E25" s="57"/>
      <c r="F25" s="58"/>
      <c r="G25" s="57"/>
      <c r="H25" s="58"/>
      <c r="I25" s="66"/>
      <c r="J25" s="67"/>
      <c r="K25" s="34"/>
      <c r="L25" s="9"/>
      <c r="M25" s="35"/>
      <c r="N25" s="36"/>
    </row>
    <row r="26" spans="2:14" ht="18" customHeight="1" x14ac:dyDescent="0.2">
      <c r="B26" s="23"/>
      <c r="C26" s="59"/>
      <c r="D26" s="60"/>
      <c r="E26" s="59"/>
      <c r="F26" s="60"/>
      <c r="G26" s="59"/>
      <c r="H26" s="60"/>
      <c r="I26" s="59"/>
      <c r="J26" s="65"/>
      <c r="K26" s="10"/>
      <c r="L26" s="9"/>
      <c r="M26" s="35"/>
      <c r="N26" s="36"/>
    </row>
    <row r="27" spans="2:14" ht="18" customHeight="1" x14ac:dyDescent="0.2">
      <c r="B27" s="24"/>
      <c r="C27" s="57"/>
      <c r="D27" s="58"/>
      <c r="E27" s="57"/>
      <c r="F27" s="58"/>
      <c r="G27" s="57"/>
      <c r="H27" s="58"/>
      <c r="I27" s="66"/>
      <c r="J27" s="67"/>
      <c r="K27" s="16"/>
      <c r="L27" s="17"/>
      <c r="M27" s="37"/>
      <c r="N27" s="38"/>
    </row>
    <row r="28" spans="2:14" ht="18" customHeight="1" x14ac:dyDescent="0.2">
      <c r="B28" s="23"/>
      <c r="C28" s="59"/>
      <c r="D28" s="60"/>
      <c r="E28" s="59"/>
      <c r="F28" s="60"/>
      <c r="G28" s="59"/>
      <c r="H28" s="60"/>
      <c r="I28" s="59"/>
      <c r="J28" s="65"/>
      <c r="K28" s="41" t="s">
        <v>15</v>
      </c>
      <c r="L28" s="8"/>
      <c r="M28" s="85"/>
      <c r="N28" s="86"/>
    </row>
    <row r="29" spans="2:14" ht="18" customHeight="1" x14ac:dyDescent="0.2">
      <c r="B29" s="24"/>
      <c r="C29" s="57"/>
      <c r="D29" s="58"/>
      <c r="E29" s="57"/>
      <c r="F29" s="58"/>
      <c r="G29" s="57"/>
      <c r="H29" s="58"/>
      <c r="I29" s="57"/>
      <c r="J29" s="89"/>
      <c r="K29" s="42"/>
      <c r="L29" s="9"/>
      <c r="M29" s="35"/>
      <c r="N29" s="36"/>
    </row>
    <row r="30" spans="2:14" ht="18" customHeight="1" x14ac:dyDescent="0.2">
      <c r="B30" s="23"/>
      <c r="C30" s="59"/>
      <c r="D30" s="60"/>
      <c r="E30" s="59"/>
      <c r="F30" s="60"/>
      <c r="G30" s="59"/>
      <c r="H30" s="60"/>
      <c r="I30" s="87"/>
      <c r="J30" s="88"/>
      <c r="K30" s="42"/>
      <c r="L30" s="9"/>
      <c r="M30" s="35"/>
      <c r="N30" s="36"/>
    </row>
    <row r="31" spans="2:14" ht="18" customHeight="1" x14ac:dyDescent="0.2">
      <c r="B31" s="24"/>
      <c r="C31" s="57"/>
      <c r="D31" s="58"/>
      <c r="E31" s="57"/>
      <c r="F31" s="58"/>
      <c r="G31" s="57"/>
      <c r="H31" s="58"/>
      <c r="I31" s="57"/>
      <c r="J31" s="89"/>
      <c r="K31" s="18"/>
      <c r="L31" s="9"/>
      <c r="M31" s="35"/>
      <c r="N31" s="36"/>
    </row>
    <row r="32" spans="2:14" ht="18" customHeight="1" x14ac:dyDescent="0.2">
      <c r="B32" s="23"/>
      <c r="C32" s="59"/>
      <c r="D32" s="60"/>
      <c r="E32" s="59"/>
      <c r="F32" s="60"/>
      <c r="G32" s="59"/>
      <c r="H32" s="60"/>
      <c r="I32" s="90"/>
      <c r="J32" s="91"/>
      <c r="K32" s="18"/>
      <c r="L32" s="9"/>
      <c r="M32" s="35"/>
      <c r="N32" s="36"/>
    </row>
    <row r="33" spans="2:14" ht="18" customHeight="1" x14ac:dyDescent="0.2">
      <c r="B33" s="19"/>
      <c r="C33" s="61"/>
      <c r="D33" s="62"/>
      <c r="E33" s="61"/>
      <c r="F33" s="62"/>
      <c r="G33" s="61"/>
      <c r="H33" s="62"/>
      <c r="I33" s="92"/>
      <c r="J33" s="93"/>
      <c r="K33" s="20"/>
      <c r="L33" s="21"/>
      <c r="M33" s="83"/>
      <c r="N33" s="84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VLOOKUP(DAY(C4),DíasDeTareas,1,FALSE)=DAY(C4)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36"/>
  <sheetViews>
    <sheetView showGridLines="0" topLeftCell="A7" zoomScaleNormal="100" zoomScalePageLayoutView="84" workbookViewId="0">
      <selection activeCell="I16" sqref="I16:J21"/>
    </sheetView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style="1" customWidth="1"/>
    <col min="13" max="13" width="51.42578125" style="1" customWidth="1"/>
    <col min="14" max="14" width="10.7109375" style="1" customWidth="1"/>
    <col min="15" max="15" width="2.28515625" style="1" customWidth="1"/>
    <col min="16" max="22" width="8.85546875" style="1" customWidth="1"/>
    <col min="23" max="16384" width="8.7109375" style="1"/>
  </cols>
  <sheetData>
    <row r="1" spans="1:14" ht="11.25" customHeight="1" x14ac:dyDescent="0.2"/>
    <row r="2" spans="1:14" ht="18" customHeight="1" x14ac:dyDescent="0.2">
      <c r="A2" s="2"/>
      <c r="B2" s="77" t="s">
        <v>25</v>
      </c>
      <c r="C2" s="3"/>
      <c r="D2" s="3"/>
      <c r="E2" s="3"/>
      <c r="F2" s="3"/>
      <c r="G2" s="3"/>
      <c r="H2" s="3"/>
      <c r="I2" s="3"/>
      <c r="J2" s="4"/>
      <c r="K2" s="46" t="s">
        <v>2</v>
      </c>
      <c r="L2" s="47">
        <v>2013</v>
      </c>
      <c r="M2" s="47"/>
      <c r="N2" s="26"/>
    </row>
    <row r="3" spans="1:14" ht="21" customHeight="1" x14ac:dyDescent="0.2">
      <c r="A3" s="2"/>
      <c r="B3" s="78"/>
      <c r="C3" s="5" t="s">
        <v>4</v>
      </c>
      <c r="D3" s="5" t="s">
        <v>1</v>
      </c>
      <c r="E3" s="5" t="s">
        <v>5</v>
      </c>
      <c r="F3" s="5" t="s">
        <v>6</v>
      </c>
      <c r="G3" s="5" t="s">
        <v>7</v>
      </c>
      <c r="H3" s="5" t="s">
        <v>0</v>
      </c>
      <c r="I3" s="5" t="s">
        <v>8</v>
      </c>
      <c r="J3" s="6"/>
      <c r="K3" s="48"/>
      <c r="L3" s="49"/>
      <c r="M3" s="49"/>
      <c r="N3" s="27"/>
    </row>
    <row r="4" spans="1:14" ht="18" customHeight="1" x14ac:dyDescent="0.2">
      <c r="A4" s="2"/>
      <c r="B4" s="78"/>
      <c r="C4" s="7">
        <f>IF(DAY(FebDom1)=1,FebDom1-6,FebDom1+1)</f>
        <v>42401</v>
      </c>
      <c r="D4" s="7">
        <f>IF(DAY(FebDom1)=1,FebDom1-5,FebDom1+2)</f>
        <v>42402</v>
      </c>
      <c r="E4" s="7">
        <f>IF(DAY(FebDom1)=1,FebDom1-4,FebDom1+3)</f>
        <v>42403</v>
      </c>
      <c r="F4" s="7">
        <f>IF(DAY(FebDom1)=1,FebDom1-3,FebDom1+4)</f>
        <v>42404</v>
      </c>
      <c r="G4" s="7">
        <f>IF(DAY(FebDom1)=1,FebDom1-2,FebDom1+5)</f>
        <v>42405</v>
      </c>
      <c r="H4" s="7">
        <f>IF(DAY(FebDom1)=1,FebDom1-1,FebDom1+6)</f>
        <v>42406</v>
      </c>
      <c r="I4" s="7">
        <f>IF(DAY(FebDom1)=1,FebDom1,FebDom1+7)</f>
        <v>42407</v>
      </c>
      <c r="J4" s="6"/>
      <c r="K4" s="50" t="s">
        <v>11</v>
      </c>
      <c r="L4" s="8"/>
      <c r="M4" s="94"/>
      <c r="N4" s="95"/>
    </row>
    <row r="5" spans="1:14" ht="18" customHeight="1" x14ac:dyDescent="0.2">
      <c r="A5" s="2"/>
      <c r="B5" s="78"/>
      <c r="C5" s="7">
        <f>IF(DAY(FebDom1)=1,FebDom1+1,FebDom1+8)</f>
        <v>42408</v>
      </c>
      <c r="D5" s="7">
        <f>IF(DAY(FebDom1)=1,FebDom1+2,FebDom1+9)</f>
        <v>42409</v>
      </c>
      <c r="E5" s="7">
        <f>IF(DAY(FebDom1)=1,FebDom1+3,FebDom1+10)</f>
        <v>42410</v>
      </c>
      <c r="F5" s="7">
        <f>IF(DAY(FebDom1)=1,FebDom1+4,FebDom1+11)</f>
        <v>42411</v>
      </c>
      <c r="G5" s="7">
        <f>IF(DAY(FebDom1)=1,FebDom1+5,FebDom1+12)</f>
        <v>42412</v>
      </c>
      <c r="H5" s="7">
        <f>IF(DAY(FebDom1)=1,FebDom1+6,FebDom1+13)</f>
        <v>42413</v>
      </c>
      <c r="I5" s="7">
        <f>IF(DAY(FebDom1)=1,FebDom1+7,FebDom1+14)</f>
        <v>42414</v>
      </c>
      <c r="J5" s="6"/>
      <c r="K5" s="42"/>
      <c r="L5" s="9">
        <v>8</v>
      </c>
      <c r="M5" s="35" t="s">
        <v>49</v>
      </c>
      <c r="N5" s="36"/>
    </row>
    <row r="6" spans="1:14" ht="32.25" customHeight="1" x14ac:dyDescent="0.2">
      <c r="A6" s="2"/>
      <c r="B6" s="78"/>
      <c r="C6" s="7">
        <f>IF(DAY(FebDom1)=1,FebDom1+8,FebDom1+15)</f>
        <v>42415</v>
      </c>
      <c r="D6" s="7">
        <f>IF(DAY(FebDom1)=1,FebDom1+9,FebDom1+16)</f>
        <v>42416</v>
      </c>
      <c r="E6" s="7">
        <f>IF(DAY(FebDom1)=1,FebDom1+10,FebDom1+17)</f>
        <v>42417</v>
      </c>
      <c r="F6" s="7">
        <f>IF(DAY(FebDom1)=1,FebDom1+11,FebDom1+18)</f>
        <v>42418</v>
      </c>
      <c r="G6" s="7">
        <f>IF(DAY(FebDom1)=1,FebDom1+12,FebDom1+19)</f>
        <v>42419</v>
      </c>
      <c r="H6" s="7">
        <f>IF(DAY(FebDom1)=1,FebDom1+13,FebDom1+20)</f>
        <v>42420</v>
      </c>
      <c r="I6" s="7">
        <f>IF(DAY(FebDom1)=1,FebDom1+14,FebDom1+21)</f>
        <v>42421</v>
      </c>
      <c r="J6" s="6"/>
      <c r="K6" s="42"/>
      <c r="L6" s="9">
        <v>15</v>
      </c>
      <c r="M6" s="96" t="s">
        <v>53</v>
      </c>
      <c r="N6" s="97"/>
    </row>
    <row r="7" spans="1:14" ht="18" customHeight="1" x14ac:dyDescent="0.2">
      <c r="A7" s="2"/>
      <c r="B7" s="78"/>
      <c r="C7" s="7">
        <f>IF(DAY(FebDom1)=1,FebDom1+15,FebDom1+22)</f>
        <v>42422</v>
      </c>
      <c r="D7" s="7">
        <f>IF(DAY(FebDom1)=1,FebDom1+16,FebDom1+23)</f>
        <v>42423</v>
      </c>
      <c r="E7" s="7">
        <f>IF(DAY(FebDom1)=1,FebDom1+17,FebDom1+24)</f>
        <v>42424</v>
      </c>
      <c r="F7" s="7">
        <f>IF(DAY(FebDom1)=1,FebDom1+18,FebDom1+25)</f>
        <v>42425</v>
      </c>
      <c r="G7" s="7">
        <f>IF(DAY(FebDom1)=1,FebDom1+19,FebDom1+26)</f>
        <v>42426</v>
      </c>
      <c r="H7" s="7">
        <f>IF(DAY(FebDom1)=1,FebDom1+20,FebDom1+27)</f>
        <v>42427</v>
      </c>
      <c r="I7" s="7">
        <f>IF(DAY(FebDom1)=1,FebDom1+21,FebDom1+28)</f>
        <v>42428</v>
      </c>
      <c r="J7" s="6"/>
      <c r="K7" s="10"/>
      <c r="L7" s="9"/>
      <c r="M7" s="35"/>
      <c r="N7" s="36"/>
    </row>
    <row r="8" spans="1:14" ht="18.75" customHeight="1" x14ac:dyDescent="0.2">
      <c r="A8" s="2"/>
      <c r="B8" s="78"/>
      <c r="C8" s="7">
        <f>IF(DAY(FebDom1)=1,FebDom1+22,FebDom1+29)</f>
        <v>42429</v>
      </c>
      <c r="D8" s="7">
        <f>IF(DAY(FebDom1)=1,FebDom1+23,FebDom1+30)</f>
        <v>42430</v>
      </c>
      <c r="E8" s="7">
        <f>IF(DAY(FebDom1)=1,FebDom1+24,FebDom1+31)</f>
        <v>42431</v>
      </c>
      <c r="F8" s="7">
        <f>IF(DAY(FebDom1)=1,FebDom1+25,FebDom1+32)</f>
        <v>42432</v>
      </c>
      <c r="G8" s="7">
        <f>IF(DAY(FebDom1)=1,FebDom1+26,FebDom1+33)</f>
        <v>42433</v>
      </c>
      <c r="H8" s="7">
        <f>IF(DAY(FebDom1)=1,FebDom1+27,FebDom1+34)</f>
        <v>42434</v>
      </c>
      <c r="I8" s="7">
        <f>IF(DAY(FebDom1)=1,FebDom1+28,FebDom1+35)</f>
        <v>42435</v>
      </c>
      <c r="J8" s="6"/>
      <c r="K8" s="10"/>
      <c r="M8" s="35"/>
      <c r="N8" s="36"/>
    </row>
    <row r="9" spans="1:14" ht="18" customHeight="1" x14ac:dyDescent="0.2">
      <c r="A9" s="2"/>
      <c r="B9" s="78"/>
      <c r="C9" s="7">
        <f>IF(DAY(FebDom1)=1,FebDom1+29,FebDom1+36)</f>
        <v>42436</v>
      </c>
      <c r="D9" s="7">
        <f>IF(DAY(FebDom1)=1,FebDom1+30,FebDom1+37)</f>
        <v>42437</v>
      </c>
      <c r="E9" s="7">
        <f>IF(DAY(FebDom1)=1,FebDom1+31,FebDom1+38)</f>
        <v>42438</v>
      </c>
      <c r="F9" s="7">
        <f>IF(DAY(FebDom1)=1,FebDom1+32,FebDom1+39)</f>
        <v>42439</v>
      </c>
      <c r="G9" s="7">
        <f>IF(DAY(FebDom1)=1,FebDom1+33,FebDom1+40)</f>
        <v>42440</v>
      </c>
      <c r="H9" s="7">
        <f>IF(DAY(FebDom1)=1,FebDom1+34,FebDom1+41)</f>
        <v>42441</v>
      </c>
      <c r="I9" s="7">
        <f>IF(DAY(FebDom1)=1,FebDom1+35,FebDom1+42)</f>
        <v>42442</v>
      </c>
      <c r="J9" s="6"/>
      <c r="K9" s="11"/>
      <c r="L9" s="9"/>
      <c r="M9" s="37"/>
      <c r="N9" s="38"/>
    </row>
    <row r="10" spans="1:14" ht="18" customHeight="1" x14ac:dyDescent="0.2">
      <c r="A10" s="2"/>
      <c r="B10" s="79"/>
      <c r="C10" s="13"/>
      <c r="D10" s="13"/>
      <c r="E10" s="13"/>
      <c r="F10" s="13"/>
      <c r="G10" s="13"/>
      <c r="H10" s="13"/>
      <c r="I10" s="13"/>
      <c r="J10" s="14"/>
      <c r="K10" s="41" t="s">
        <v>12</v>
      </c>
      <c r="L10" s="12">
        <v>2</v>
      </c>
      <c r="M10" s="85" t="s">
        <v>50</v>
      </c>
      <c r="N10" s="86"/>
    </row>
    <row r="11" spans="1:14" ht="18" customHeight="1" x14ac:dyDescent="0.2">
      <c r="A11" s="2"/>
      <c r="B11" s="80" t="s">
        <v>10</v>
      </c>
      <c r="C11" s="81"/>
      <c r="D11" s="81"/>
      <c r="E11" s="81"/>
      <c r="F11" s="81"/>
      <c r="G11" s="81"/>
      <c r="H11" s="81"/>
      <c r="I11" s="81"/>
      <c r="J11" s="82"/>
      <c r="K11" s="42"/>
      <c r="L11" s="9"/>
      <c r="M11" s="35"/>
      <c r="N11" s="36"/>
    </row>
    <row r="12" spans="1:14" ht="18" customHeight="1" x14ac:dyDescent="0.2">
      <c r="A12" s="2"/>
      <c r="B12" s="80"/>
      <c r="C12" s="81"/>
      <c r="D12" s="81"/>
      <c r="E12" s="81"/>
      <c r="F12" s="81"/>
      <c r="G12" s="81"/>
      <c r="H12" s="81"/>
      <c r="I12" s="81"/>
      <c r="J12" s="82"/>
      <c r="K12" s="42"/>
      <c r="L12" s="9"/>
      <c r="M12" s="35"/>
      <c r="N12" s="36"/>
    </row>
    <row r="13" spans="1:14" ht="18" customHeight="1" x14ac:dyDescent="0.2">
      <c r="B13" s="22" t="s">
        <v>11</v>
      </c>
      <c r="C13" s="43" t="s">
        <v>12</v>
      </c>
      <c r="D13" s="45"/>
      <c r="E13" s="43" t="s">
        <v>13</v>
      </c>
      <c r="F13" s="45"/>
      <c r="G13" s="43" t="s">
        <v>14</v>
      </c>
      <c r="H13" s="45"/>
      <c r="I13" s="43" t="s">
        <v>15</v>
      </c>
      <c r="J13" s="44"/>
      <c r="K13" s="10"/>
      <c r="M13" s="35"/>
      <c r="N13" s="36"/>
    </row>
    <row r="14" spans="1:14" ht="18" customHeight="1" x14ac:dyDescent="0.2">
      <c r="B14" s="23"/>
      <c r="C14" s="59"/>
      <c r="D14" s="60"/>
      <c r="E14" s="59"/>
      <c r="F14" s="60"/>
      <c r="G14" s="59"/>
      <c r="H14" s="60"/>
      <c r="I14" s="59"/>
      <c r="J14" s="65"/>
      <c r="K14" s="10"/>
      <c r="L14" s="9"/>
      <c r="M14" s="35"/>
      <c r="N14" s="36"/>
    </row>
    <row r="15" spans="1:14" ht="18" customHeight="1" x14ac:dyDescent="0.2">
      <c r="B15" s="24"/>
      <c r="C15" s="57"/>
      <c r="D15" s="58"/>
      <c r="E15" s="57"/>
      <c r="F15" s="58"/>
      <c r="G15" s="57"/>
      <c r="H15" s="58"/>
      <c r="I15" s="66"/>
      <c r="J15" s="67"/>
      <c r="K15" s="16"/>
      <c r="L15" s="9"/>
      <c r="M15" s="37"/>
      <c r="N15" s="38"/>
    </row>
    <row r="16" spans="1:14" ht="18" customHeight="1" x14ac:dyDescent="0.2">
      <c r="B16" s="23"/>
      <c r="C16" s="59"/>
      <c r="D16" s="60"/>
      <c r="E16" s="59"/>
      <c r="F16" s="60"/>
      <c r="G16" s="59"/>
      <c r="H16" s="60"/>
      <c r="I16" s="68" t="s">
        <v>44</v>
      </c>
      <c r="J16" s="69"/>
      <c r="K16" s="33" t="s">
        <v>13</v>
      </c>
      <c r="L16" s="8"/>
      <c r="M16" s="85"/>
      <c r="N16" s="86"/>
    </row>
    <row r="17" spans="2:14" ht="18" customHeight="1" x14ac:dyDescent="0.2">
      <c r="B17" s="24"/>
      <c r="C17" s="57"/>
      <c r="D17" s="58"/>
      <c r="E17" s="57"/>
      <c r="F17" s="58"/>
      <c r="G17" s="57"/>
      <c r="H17" s="58"/>
      <c r="I17" s="70"/>
      <c r="J17" s="71"/>
      <c r="K17" s="34"/>
      <c r="L17" s="9"/>
      <c r="M17" s="35"/>
      <c r="N17" s="36"/>
    </row>
    <row r="18" spans="2:14" ht="18" customHeight="1" x14ac:dyDescent="0.2">
      <c r="B18" s="25"/>
      <c r="C18" s="63"/>
      <c r="D18" s="64"/>
      <c r="E18" s="63"/>
      <c r="F18" s="64"/>
      <c r="G18" s="63"/>
      <c r="H18" s="64"/>
      <c r="I18" s="63"/>
      <c r="J18" s="76"/>
      <c r="K18" s="34"/>
      <c r="L18" s="9">
        <v>17</v>
      </c>
      <c r="M18" s="35" t="s">
        <v>52</v>
      </c>
      <c r="N18" s="36"/>
    </row>
    <row r="19" spans="2:14" ht="18" customHeight="1" x14ac:dyDescent="0.2">
      <c r="B19" s="24"/>
      <c r="C19" s="57"/>
      <c r="D19" s="58"/>
      <c r="E19" s="57"/>
      <c r="F19" s="58"/>
      <c r="G19" s="57"/>
      <c r="H19" s="58"/>
      <c r="I19" s="66"/>
      <c r="J19" s="67"/>
      <c r="K19" s="10"/>
      <c r="L19" s="9">
        <v>24</v>
      </c>
      <c r="M19" s="35" t="s">
        <v>51</v>
      </c>
      <c r="N19" s="36"/>
    </row>
    <row r="20" spans="2:14" ht="18" customHeight="1" x14ac:dyDescent="0.2">
      <c r="B20" s="23"/>
      <c r="C20" s="59"/>
      <c r="D20" s="60"/>
      <c r="E20" s="59"/>
      <c r="F20" s="60"/>
      <c r="G20" s="59"/>
      <c r="H20" s="60"/>
      <c r="I20" s="68" t="s">
        <v>45</v>
      </c>
      <c r="J20" s="69"/>
      <c r="K20" s="10"/>
      <c r="L20" s="9"/>
      <c r="M20" s="35"/>
      <c r="N20" s="36"/>
    </row>
    <row r="21" spans="2:14" ht="24.75" customHeight="1" x14ac:dyDescent="0.2">
      <c r="B21" s="24"/>
      <c r="C21" s="57"/>
      <c r="D21" s="58"/>
      <c r="E21" s="57"/>
      <c r="F21" s="58"/>
      <c r="G21" s="57"/>
      <c r="H21" s="58"/>
      <c r="I21" s="70"/>
      <c r="J21" s="71"/>
      <c r="K21" s="16"/>
      <c r="L21" s="17"/>
      <c r="M21" s="37"/>
      <c r="N21" s="38"/>
    </row>
    <row r="22" spans="2:14" ht="18" customHeight="1" x14ac:dyDescent="0.2">
      <c r="B22" s="23"/>
      <c r="C22" s="59"/>
      <c r="D22" s="60"/>
      <c r="E22" s="59"/>
      <c r="F22" s="60"/>
      <c r="G22" s="59"/>
      <c r="H22" s="60"/>
      <c r="I22" s="59"/>
      <c r="J22" s="65"/>
      <c r="K22" s="33" t="s">
        <v>14</v>
      </c>
      <c r="L22" s="8"/>
      <c r="M22" s="85"/>
      <c r="N22" s="86"/>
    </row>
    <row r="23" spans="2:14" ht="18" customHeight="1" x14ac:dyDescent="0.2">
      <c r="B23" s="24"/>
      <c r="C23" s="57"/>
      <c r="D23" s="58"/>
      <c r="E23" s="57"/>
      <c r="F23" s="58"/>
      <c r="G23" s="57"/>
      <c r="H23" s="58"/>
      <c r="I23" s="66"/>
      <c r="J23" s="67"/>
      <c r="K23" s="34"/>
      <c r="L23" s="9">
        <v>11</v>
      </c>
      <c r="M23" s="35" t="s">
        <v>43</v>
      </c>
      <c r="N23" s="36"/>
    </row>
    <row r="24" spans="2:14" ht="18" customHeight="1" x14ac:dyDescent="0.2">
      <c r="B24" s="23"/>
      <c r="C24" s="59"/>
      <c r="D24" s="60"/>
      <c r="E24" s="59"/>
      <c r="F24" s="60"/>
      <c r="G24" s="59"/>
      <c r="H24" s="60"/>
      <c r="I24" s="68" t="s">
        <v>46</v>
      </c>
      <c r="J24" s="69"/>
      <c r="K24" s="34"/>
      <c r="L24" s="9"/>
      <c r="M24" s="35"/>
      <c r="N24" s="36"/>
    </row>
    <row r="25" spans="2:14" ht="27" customHeight="1" x14ac:dyDescent="0.2">
      <c r="B25" s="24"/>
      <c r="C25" s="57"/>
      <c r="D25" s="58"/>
      <c r="E25" s="57"/>
      <c r="F25" s="58"/>
      <c r="G25" s="57"/>
      <c r="H25" s="58"/>
      <c r="I25" s="70"/>
      <c r="J25" s="71"/>
      <c r="K25" s="34"/>
      <c r="L25" s="9">
        <v>25</v>
      </c>
      <c r="M25" s="35" t="s">
        <v>55</v>
      </c>
      <c r="N25" s="36"/>
    </row>
    <row r="26" spans="2:14" ht="18" customHeight="1" x14ac:dyDescent="0.2">
      <c r="B26" s="23"/>
      <c r="C26" s="59"/>
      <c r="D26" s="60"/>
      <c r="E26" s="59"/>
      <c r="F26" s="60"/>
      <c r="G26" s="59"/>
      <c r="H26" s="60"/>
      <c r="I26" s="59"/>
      <c r="J26" s="65"/>
      <c r="K26" s="10"/>
      <c r="L26" s="9"/>
      <c r="M26" s="35"/>
      <c r="N26" s="36"/>
    </row>
    <row r="27" spans="2:14" ht="18" customHeight="1" x14ac:dyDescent="0.2">
      <c r="B27" s="24"/>
      <c r="C27" s="57"/>
      <c r="D27" s="58"/>
      <c r="E27" s="57"/>
      <c r="F27" s="58"/>
      <c r="G27" s="57"/>
      <c r="H27" s="58"/>
      <c r="I27" s="66"/>
      <c r="J27" s="67"/>
      <c r="K27" s="16"/>
      <c r="L27" s="17"/>
      <c r="M27" s="37"/>
      <c r="N27" s="38"/>
    </row>
    <row r="28" spans="2:14" ht="18" customHeight="1" x14ac:dyDescent="0.2">
      <c r="B28" s="23"/>
      <c r="C28" s="59"/>
      <c r="D28" s="60"/>
      <c r="E28" s="59"/>
      <c r="F28" s="60"/>
      <c r="G28" s="59"/>
      <c r="H28" s="60"/>
      <c r="I28" s="68" t="s">
        <v>47</v>
      </c>
      <c r="J28" s="69"/>
      <c r="K28" s="41" t="s">
        <v>15</v>
      </c>
      <c r="L28" s="8"/>
      <c r="M28" s="85"/>
      <c r="N28" s="86"/>
    </row>
    <row r="29" spans="2:14" ht="36.75" customHeight="1" x14ac:dyDescent="0.2">
      <c r="B29" s="24"/>
      <c r="C29" s="57"/>
      <c r="D29" s="58"/>
      <c r="E29" s="57"/>
      <c r="F29" s="58"/>
      <c r="G29" s="57"/>
      <c r="H29" s="58"/>
      <c r="I29" s="70"/>
      <c r="J29" s="71"/>
      <c r="K29" s="42"/>
      <c r="L29" s="9">
        <v>12</v>
      </c>
      <c r="M29" s="98" t="s">
        <v>41</v>
      </c>
      <c r="N29" s="99"/>
    </row>
    <row r="30" spans="2:14" ht="18" customHeight="1" x14ac:dyDescent="0.2">
      <c r="B30" s="23"/>
      <c r="C30" s="59"/>
      <c r="D30" s="60"/>
      <c r="E30" s="59"/>
      <c r="F30" s="60"/>
      <c r="G30" s="59"/>
      <c r="H30" s="60"/>
      <c r="I30" s="87"/>
      <c r="J30" s="88"/>
      <c r="K30" s="42"/>
      <c r="L30" s="9"/>
      <c r="M30" s="35"/>
      <c r="N30" s="36"/>
    </row>
    <row r="31" spans="2:14" ht="18" customHeight="1" x14ac:dyDescent="0.2">
      <c r="B31" s="24"/>
      <c r="C31" s="57"/>
      <c r="D31" s="58"/>
      <c r="E31" s="57"/>
      <c r="F31" s="58"/>
      <c r="G31" s="57"/>
      <c r="H31" s="58"/>
      <c r="I31" s="57"/>
      <c r="J31" s="89"/>
      <c r="K31" s="18"/>
      <c r="L31" s="9">
        <v>26</v>
      </c>
      <c r="M31" s="35" t="s">
        <v>54</v>
      </c>
      <c r="N31" s="36"/>
    </row>
    <row r="32" spans="2:14" ht="18" customHeight="1" x14ac:dyDescent="0.2">
      <c r="B32" s="23"/>
      <c r="C32" s="59"/>
      <c r="D32" s="60"/>
      <c r="E32" s="59"/>
      <c r="F32" s="60"/>
      <c r="G32" s="59"/>
      <c r="H32" s="60"/>
      <c r="I32" s="90"/>
      <c r="J32" s="91"/>
      <c r="K32" s="18"/>
      <c r="L32" s="9"/>
      <c r="M32" s="35"/>
      <c r="N32" s="36"/>
    </row>
    <row r="33" spans="2:14" ht="18" customHeight="1" x14ac:dyDescent="0.2">
      <c r="B33" s="19"/>
      <c r="C33" s="61"/>
      <c r="D33" s="62"/>
      <c r="E33" s="61"/>
      <c r="F33" s="62"/>
      <c r="G33" s="61"/>
      <c r="H33" s="62"/>
      <c r="I33" s="92"/>
      <c r="J33" s="93"/>
      <c r="K33" s="20"/>
      <c r="L33" s="21"/>
      <c r="M33" s="83"/>
      <c r="N33" s="84"/>
    </row>
    <row r="35" spans="2:14" ht="16.5" customHeight="1" x14ac:dyDescent="0.2">
      <c r="K35" s="1" t="s">
        <v>28</v>
      </c>
    </row>
    <row r="36" spans="2:14" ht="16.5" customHeight="1" x14ac:dyDescent="0.2">
      <c r="K36" s="1" t="s">
        <v>34</v>
      </c>
    </row>
  </sheetData>
  <mergeCells count="118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K28:K30"/>
    <mergeCell ref="M28:N28"/>
    <mergeCell ref="C29:D29"/>
    <mergeCell ref="E29:F29"/>
    <mergeCell ref="G29:H29"/>
    <mergeCell ref="I28:J29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M24:N24"/>
    <mergeCell ref="C25:D25"/>
    <mergeCell ref="E25:F25"/>
    <mergeCell ref="G25:H25"/>
    <mergeCell ref="M25:N25"/>
    <mergeCell ref="I24:J25"/>
    <mergeCell ref="C19:D19"/>
    <mergeCell ref="E19:F19"/>
    <mergeCell ref="G19:H19"/>
    <mergeCell ref="I19:J19"/>
    <mergeCell ref="M19:N19"/>
    <mergeCell ref="C20:D20"/>
    <mergeCell ref="E20:F20"/>
    <mergeCell ref="G20:H20"/>
    <mergeCell ref="M20:N20"/>
    <mergeCell ref="I20:J21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K16:K18"/>
    <mergeCell ref="M16:N16"/>
    <mergeCell ref="C17:D17"/>
    <mergeCell ref="E17:F17"/>
    <mergeCell ref="G17:H17"/>
    <mergeCell ref="I16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50" priority="7" stopIfTrue="1">
      <formula>DAY(C4)&gt;8</formula>
    </cfRule>
  </conditionalFormatting>
  <conditionalFormatting sqref="C8:I10">
    <cfRule type="expression" dxfId="49" priority="6" stopIfTrue="1">
      <formula>AND(DAY(C8)&gt;=1,DAY(C8)&lt;=15)</formula>
    </cfRule>
  </conditionalFormatting>
  <conditionalFormatting sqref="C4:I9">
    <cfRule type="expression" dxfId="48" priority="8">
      <formula>VLOOKUP(DAY(C4),DíasDeTareas,1,FALSE)=DAY(C4)</formula>
    </cfRule>
  </conditionalFormatting>
  <conditionalFormatting sqref="B14:J15 B18:J19 B16:H17 B22:J23 B20:H21 B26:J27 B24:H25 B30:J33 B28:H29">
    <cfRule type="expression" dxfId="47" priority="5">
      <formula>B14&lt;&gt;""</formula>
    </cfRule>
  </conditionalFormatting>
  <conditionalFormatting sqref="I16">
    <cfRule type="expression" dxfId="46" priority="4">
      <formula>I16&lt;&gt;""</formula>
    </cfRule>
  </conditionalFormatting>
  <conditionalFormatting sqref="I20">
    <cfRule type="expression" dxfId="45" priority="3">
      <formula>I20&lt;&gt;""</formula>
    </cfRule>
  </conditionalFormatting>
  <conditionalFormatting sqref="I24">
    <cfRule type="expression" dxfId="44" priority="2">
      <formula>I24&lt;&gt;""</formula>
    </cfRule>
  </conditionalFormatting>
  <conditionalFormatting sqref="I28">
    <cfRule type="expression" dxfId="43" priority="1">
      <formula>I28&lt;&gt;""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37"/>
  <sheetViews>
    <sheetView showGridLines="0" topLeftCell="A10" zoomScaleNormal="100" zoomScalePageLayoutView="84" workbookViewId="0">
      <selection activeCell="K34" sqref="K34:P37"/>
    </sheetView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style="1" customWidth="1"/>
    <col min="13" max="13" width="51.42578125" style="1" customWidth="1"/>
    <col min="14" max="14" width="10.7109375" style="1" customWidth="1"/>
    <col min="15" max="15" width="2.28515625" style="1" customWidth="1"/>
    <col min="16" max="22" width="8.85546875" style="1" customWidth="1"/>
    <col min="23" max="16384" width="8.7109375" style="1"/>
  </cols>
  <sheetData>
    <row r="1" spans="1:14" ht="11.25" customHeight="1" x14ac:dyDescent="0.2"/>
    <row r="2" spans="1:14" ht="18" customHeight="1" x14ac:dyDescent="0.2">
      <c r="A2" s="2"/>
      <c r="B2" s="77" t="s">
        <v>24</v>
      </c>
      <c r="C2" s="3"/>
      <c r="D2" s="3"/>
      <c r="E2" s="3"/>
      <c r="F2" s="3"/>
      <c r="G2" s="3"/>
      <c r="H2" s="3"/>
      <c r="I2" s="3"/>
      <c r="J2" s="4"/>
      <c r="K2" s="46" t="s">
        <v>2</v>
      </c>
      <c r="L2" s="47">
        <v>2013</v>
      </c>
      <c r="M2" s="47"/>
      <c r="N2" s="26"/>
    </row>
    <row r="3" spans="1:14" ht="21" customHeight="1" x14ac:dyDescent="0.2">
      <c r="A3" s="2"/>
      <c r="B3" s="78"/>
      <c r="C3" s="5" t="s">
        <v>4</v>
      </c>
      <c r="D3" s="5" t="s">
        <v>1</v>
      </c>
      <c r="E3" s="5" t="s">
        <v>5</v>
      </c>
      <c r="F3" s="5" t="s">
        <v>6</v>
      </c>
      <c r="G3" s="5" t="s">
        <v>7</v>
      </c>
      <c r="H3" s="5" t="s">
        <v>0</v>
      </c>
      <c r="I3" s="5" t="s">
        <v>8</v>
      </c>
      <c r="J3" s="6"/>
      <c r="K3" s="48"/>
      <c r="L3" s="49"/>
      <c r="M3" s="49"/>
      <c r="N3" s="27"/>
    </row>
    <row r="4" spans="1:14" ht="18" customHeight="1" x14ac:dyDescent="0.2">
      <c r="A4" s="2"/>
      <c r="B4" s="78"/>
      <c r="C4" s="7">
        <f>IF(DAY(MarDom1)=1,MarDom1-6,MarDom1+1)</f>
        <v>42429</v>
      </c>
      <c r="D4" s="7">
        <f>IF(DAY(MarDom1)=1,MarDom1-5,MarDom1+2)</f>
        <v>42430</v>
      </c>
      <c r="E4" s="7">
        <f>IF(DAY(MarDom1)=1,MarDom1-4,MarDom1+3)</f>
        <v>42431</v>
      </c>
      <c r="F4" s="7">
        <f>IF(DAY(MarDom1)=1,MarDom1-3,MarDom1+4)</f>
        <v>42432</v>
      </c>
      <c r="G4" s="7">
        <f>IF(DAY(MarDom1)=1,MarDom1-2,MarDom1+5)</f>
        <v>42433</v>
      </c>
      <c r="H4" s="7">
        <f>IF(DAY(MarDom1)=1,MarDom1-1,MarDom1+6)</f>
        <v>42434</v>
      </c>
      <c r="I4" s="7">
        <f>IF(DAY(MarDom1)=1,MarDom1,MarDom1+7)</f>
        <v>42435</v>
      </c>
      <c r="J4" s="6"/>
      <c r="K4" s="50" t="s">
        <v>11</v>
      </c>
      <c r="L4" s="8"/>
      <c r="M4" s="94"/>
      <c r="N4" s="95"/>
    </row>
    <row r="5" spans="1:14" ht="18" customHeight="1" x14ac:dyDescent="0.2">
      <c r="A5" s="2"/>
      <c r="B5" s="78"/>
      <c r="C5" s="7">
        <f>IF(DAY(MarDom1)=1,MarDom1+1,MarDom1+8)</f>
        <v>42436</v>
      </c>
      <c r="D5" s="7">
        <f>IF(DAY(MarDom1)=1,MarDom1+2,MarDom1+9)</f>
        <v>42437</v>
      </c>
      <c r="E5" s="7">
        <f>IF(DAY(MarDom1)=1,MarDom1+3,MarDom1+10)</f>
        <v>42438</v>
      </c>
      <c r="F5" s="7">
        <f>IF(DAY(MarDom1)=1,MarDom1+4,MarDom1+11)</f>
        <v>42439</v>
      </c>
      <c r="G5" s="7">
        <f>IF(DAY(MarDom1)=1,MarDom1+5,MarDom1+12)</f>
        <v>42440</v>
      </c>
      <c r="H5" s="7">
        <f>IF(DAY(MarDom1)=1,MarDom1+6,MarDom1+13)</f>
        <v>42441</v>
      </c>
      <c r="I5" s="7">
        <f>IF(DAY(MarDom1)=1,MarDom1+7,MarDom1+14)</f>
        <v>42442</v>
      </c>
      <c r="J5" s="6"/>
      <c r="K5" s="42"/>
      <c r="L5" s="9">
        <v>7</v>
      </c>
      <c r="M5" s="35" t="s">
        <v>59</v>
      </c>
      <c r="N5" s="36"/>
    </row>
    <row r="6" spans="1:14" ht="18" customHeight="1" x14ac:dyDescent="0.2">
      <c r="A6" s="2"/>
      <c r="B6" s="78"/>
      <c r="C6" s="7">
        <f>IF(DAY(MarDom1)=1,MarDom1+8,MarDom1+15)</f>
        <v>42443</v>
      </c>
      <c r="D6" s="7">
        <f>IF(DAY(MarDom1)=1,MarDom1+9,MarDom1+16)</f>
        <v>42444</v>
      </c>
      <c r="E6" s="7">
        <f>IF(DAY(MarDom1)=1,MarDom1+10,MarDom1+17)</f>
        <v>42445</v>
      </c>
      <c r="F6" s="7">
        <f>IF(DAY(MarDom1)=1,MarDom1+11,MarDom1+18)</f>
        <v>42446</v>
      </c>
      <c r="G6" s="7">
        <f>IF(DAY(MarDom1)=1,MarDom1+12,MarDom1+19)</f>
        <v>42447</v>
      </c>
      <c r="H6" s="7">
        <f>IF(DAY(MarDom1)=1,MarDom1+13,MarDom1+20)</f>
        <v>42448</v>
      </c>
      <c r="I6" s="7">
        <f>IF(DAY(MarDom1)=1,MarDom1+14,MarDom1+21)</f>
        <v>42449</v>
      </c>
      <c r="J6" s="6"/>
      <c r="K6" s="42"/>
      <c r="L6" s="9">
        <v>14</v>
      </c>
      <c r="M6" s="35" t="s">
        <v>65</v>
      </c>
      <c r="N6" s="36"/>
    </row>
    <row r="7" spans="1:14" ht="18" customHeight="1" x14ac:dyDescent="0.2">
      <c r="A7" s="2"/>
      <c r="B7" s="78"/>
      <c r="C7" s="32">
        <f>IF(DAY(MarDom1)=1,MarDom1+15,MarDom1+22)</f>
        <v>42450</v>
      </c>
      <c r="D7" s="32">
        <f>IF(DAY(MarDom1)=1,MarDom1+16,MarDom1+23)</f>
        <v>42451</v>
      </c>
      <c r="E7" s="32">
        <f>IF(DAY(MarDom1)=1,MarDom1+17,MarDom1+24)</f>
        <v>42452</v>
      </c>
      <c r="F7" s="32">
        <f>IF(DAY(MarDom1)=1,MarDom1+18,MarDom1+25)</f>
        <v>42453</v>
      </c>
      <c r="G7" s="32">
        <f>IF(DAY(MarDom1)=1,MarDom1+19,MarDom1+26)</f>
        <v>42454</v>
      </c>
      <c r="H7" s="32">
        <f>IF(DAY(MarDom1)=1,MarDom1+20,MarDom1+27)</f>
        <v>42455</v>
      </c>
      <c r="I7" s="32">
        <f>IF(DAY(MarDom1)=1,MarDom1+21,MarDom1+28)</f>
        <v>42456</v>
      </c>
      <c r="J7" s="6"/>
      <c r="K7" s="10"/>
      <c r="L7" s="9"/>
      <c r="M7" s="35"/>
      <c r="N7" s="36"/>
    </row>
    <row r="8" spans="1:14" ht="18.75" customHeight="1" x14ac:dyDescent="0.2">
      <c r="A8" s="2"/>
      <c r="B8" s="78"/>
      <c r="C8" s="32">
        <f>IF(DAY(MarDom1)=1,MarDom1+22,MarDom1+29)</f>
        <v>42457</v>
      </c>
      <c r="D8" s="32">
        <f>IF(DAY(MarDom1)=1,MarDom1+23,MarDom1+30)</f>
        <v>42458</v>
      </c>
      <c r="E8" s="32">
        <f>IF(DAY(MarDom1)=1,MarDom1+24,MarDom1+31)</f>
        <v>42459</v>
      </c>
      <c r="F8" s="32">
        <f>IF(DAY(MarDom1)=1,MarDom1+25,MarDom1+32)</f>
        <v>42460</v>
      </c>
      <c r="G8" s="32">
        <f>IF(DAY(MarDom1)=1,MarDom1+26,MarDom1+33)</f>
        <v>42461</v>
      </c>
      <c r="H8" s="32">
        <f>IF(DAY(MarDom1)=1,MarDom1+27,MarDom1+34)</f>
        <v>42462</v>
      </c>
      <c r="I8" s="32">
        <f>IF(DAY(MarDom1)=1,MarDom1+28,MarDom1+35)</f>
        <v>42463</v>
      </c>
      <c r="J8" s="6"/>
      <c r="K8" s="10"/>
      <c r="L8" s="9"/>
      <c r="M8" s="35"/>
      <c r="N8" s="36"/>
    </row>
    <row r="9" spans="1:14" ht="18" customHeight="1" x14ac:dyDescent="0.2">
      <c r="A9" s="2"/>
      <c r="B9" s="78"/>
      <c r="C9" s="7">
        <f>IF(DAY(MarDom1)=1,MarDom1+29,MarDom1+36)</f>
        <v>42464</v>
      </c>
      <c r="D9" s="7">
        <f>IF(DAY(MarDom1)=1,MarDom1+30,MarDom1+37)</f>
        <v>42465</v>
      </c>
      <c r="E9" s="7">
        <f>IF(DAY(MarDom1)=1,MarDom1+31,MarDom1+38)</f>
        <v>42466</v>
      </c>
      <c r="F9" s="7">
        <f>IF(DAY(MarDom1)=1,MarDom1+32,MarDom1+39)</f>
        <v>42467</v>
      </c>
      <c r="G9" s="7">
        <f>IF(DAY(MarDom1)=1,MarDom1+33,MarDom1+40)</f>
        <v>42468</v>
      </c>
      <c r="H9" s="7">
        <f>IF(DAY(MarDom1)=1,MarDom1+34,MarDom1+41)</f>
        <v>42469</v>
      </c>
      <c r="I9" s="7">
        <f>IF(DAY(MarDom1)=1,MarDom1+35,MarDom1+42)</f>
        <v>42470</v>
      </c>
      <c r="J9" s="6"/>
      <c r="K9" s="11"/>
      <c r="L9" s="12"/>
      <c r="M9" s="37"/>
      <c r="N9" s="38"/>
    </row>
    <row r="10" spans="1:14" ht="18" customHeight="1" x14ac:dyDescent="0.2">
      <c r="A10" s="2"/>
      <c r="B10" s="79"/>
      <c r="C10" s="13"/>
      <c r="D10" s="13"/>
      <c r="E10" s="13"/>
      <c r="F10" s="13"/>
      <c r="G10" s="13"/>
      <c r="H10" s="13"/>
      <c r="I10" s="13"/>
      <c r="J10" s="14"/>
      <c r="K10" s="41" t="s">
        <v>12</v>
      </c>
      <c r="L10" s="8"/>
      <c r="M10" s="85"/>
      <c r="N10" s="86"/>
    </row>
    <row r="11" spans="1:14" ht="18" customHeight="1" x14ac:dyDescent="0.2">
      <c r="A11" s="2"/>
      <c r="B11" s="80" t="s">
        <v>10</v>
      </c>
      <c r="C11" s="81"/>
      <c r="D11" s="81"/>
      <c r="E11" s="81"/>
      <c r="F11" s="81"/>
      <c r="G11" s="81"/>
      <c r="H11" s="81"/>
      <c r="I11" s="81"/>
      <c r="J11" s="82"/>
      <c r="K11" s="42"/>
      <c r="L11" s="9">
        <v>8</v>
      </c>
      <c r="M11" s="35" t="s">
        <v>61</v>
      </c>
      <c r="N11" s="36"/>
    </row>
    <row r="12" spans="1:14" ht="18" customHeight="1" x14ac:dyDescent="0.2">
      <c r="A12" s="2"/>
      <c r="B12" s="80"/>
      <c r="C12" s="81"/>
      <c r="D12" s="81"/>
      <c r="E12" s="81"/>
      <c r="F12" s="81"/>
      <c r="G12" s="81"/>
      <c r="H12" s="81"/>
      <c r="I12" s="81"/>
      <c r="J12" s="82"/>
      <c r="K12" s="42"/>
      <c r="L12" s="9">
        <v>15</v>
      </c>
      <c r="M12" s="35" t="s">
        <v>64</v>
      </c>
      <c r="N12" s="36"/>
    </row>
    <row r="13" spans="1:14" ht="18" customHeight="1" x14ac:dyDescent="0.2">
      <c r="B13" s="22" t="s">
        <v>11</v>
      </c>
      <c r="C13" s="43" t="s">
        <v>12</v>
      </c>
      <c r="D13" s="45"/>
      <c r="E13" s="43" t="s">
        <v>13</v>
      </c>
      <c r="F13" s="45"/>
      <c r="G13" s="43" t="s">
        <v>14</v>
      </c>
      <c r="H13" s="45"/>
      <c r="I13" s="43" t="s">
        <v>15</v>
      </c>
      <c r="J13" s="44"/>
      <c r="K13" s="10"/>
      <c r="L13" s="9"/>
      <c r="M13" s="35"/>
      <c r="N13" s="36"/>
    </row>
    <row r="14" spans="1:14" ht="18" customHeight="1" x14ac:dyDescent="0.2">
      <c r="B14" s="23"/>
      <c r="C14" s="59"/>
      <c r="D14" s="60"/>
      <c r="E14" s="59"/>
      <c r="F14" s="60"/>
      <c r="G14" s="59"/>
      <c r="H14" s="60"/>
      <c r="I14" s="59"/>
      <c r="J14" s="65"/>
      <c r="K14" s="10"/>
      <c r="L14" s="9"/>
      <c r="M14" s="35"/>
      <c r="N14" s="36"/>
    </row>
    <row r="15" spans="1:14" ht="18" customHeight="1" x14ac:dyDescent="0.2">
      <c r="B15" s="24"/>
      <c r="C15" s="57"/>
      <c r="D15" s="58"/>
      <c r="E15" s="57"/>
      <c r="F15" s="58"/>
      <c r="G15" s="57"/>
      <c r="H15" s="58"/>
      <c r="I15" s="66"/>
      <c r="J15" s="67"/>
      <c r="K15" s="16"/>
      <c r="L15" s="17"/>
      <c r="M15" s="37"/>
      <c r="N15" s="38"/>
    </row>
    <row r="16" spans="1:14" ht="18" customHeight="1" x14ac:dyDescent="0.2">
      <c r="B16" s="23"/>
      <c r="C16" s="59"/>
      <c r="D16" s="60"/>
      <c r="E16" s="59"/>
      <c r="F16" s="60"/>
      <c r="G16" s="59"/>
      <c r="H16" s="60"/>
      <c r="I16" s="68" t="s">
        <v>57</v>
      </c>
      <c r="J16" s="69"/>
      <c r="K16" s="33" t="s">
        <v>13</v>
      </c>
      <c r="L16" s="8">
        <v>2</v>
      </c>
      <c r="M16" s="85" t="s">
        <v>56</v>
      </c>
      <c r="N16" s="86"/>
    </row>
    <row r="17" spans="2:14" ht="18" customHeight="1" x14ac:dyDescent="0.2">
      <c r="B17" s="24"/>
      <c r="C17" s="57"/>
      <c r="D17" s="58"/>
      <c r="E17" s="57"/>
      <c r="F17" s="58"/>
      <c r="G17" s="57"/>
      <c r="H17" s="58"/>
      <c r="I17" s="70"/>
      <c r="J17" s="71"/>
      <c r="K17" s="34"/>
      <c r="L17" s="9"/>
      <c r="M17" s="35"/>
      <c r="N17" s="36"/>
    </row>
    <row r="18" spans="2:14" ht="18" customHeight="1" x14ac:dyDescent="0.2">
      <c r="B18" s="25"/>
      <c r="C18" s="63"/>
      <c r="D18" s="64"/>
      <c r="E18" s="63"/>
      <c r="F18" s="64"/>
      <c r="G18" s="63"/>
      <c r="H18" s="64"/>
      <c r="I18" s="63"/>
      <c r="J18" s="76"/>
      <c r="K18" s="34"/>
      <c r="L18" s="9"/>
      <c r="M18" s="35"/>
      <c r="N18" s="36"/>
    </row>
    <row r="19" spans="2:14" ht="18" customHeight="1" x14ac:dyDescent="0.2">
      <c r="B19" s="24"/>
      <c r="C19" s="57"/>
      <c r="D19" s="58"/>
      <c r="E19" s="57"/>
      <c r="F19" s="58"/>
      <c r="G19" s="57"/>
      <c r="H19" s="58"/>
      <c r="I19" s="66"/>
      <c r="J19" s="67"/>
      <c r="K19" s="10"/>
      <c r="L19" s="9"/>
      <c r="M19" s="35"/>
      <c r="N19" s="36"/>
    </row>
    <row r="20" spans="2:14" ht="18" customHeight="1" x14ac:dyDescent="0.2">
      <c r="B20" s="23"/>
      <c r="C20" s="59"/>
      <c r="D20" s="60"/>
      <c r="E20" s="59"/>
      <c r="F20" s="60"/>
      <c r="G20" s="59"/>
      <c r="H20" s="60"/>
      <c r="I20" s="68" t="s">
        <v>58</v>
      </c>
      <c r="J20" s="69"/>
      <c r="K20" s="10"/>
      <c r="L20" s="9"/>
      <c r="M20" s="35"/>
      <c r="N20" s="36"/>
    </row>
    <row r="21" spans="2:14" ht="30" customHeight="1" x14ac:dyDescent="0.2">
      <c r="B21" s="24"/>
      <c r="C21" s="57"/>
      <c r="D21" s="58"/>
      <c r="E21" s="57"/>
      <c r="F21" s="58"/>
      <c r="G21" s="57"/>
      <c r="H21" s="58"/>
      <c r="I21" s="70"/>
      <c r="J21" s="71"/>
      <c r="K21" s="16"/>
      <c r="L21" s="17"/>
      <c r="M21" s="37"/>
      <c r="N21" s="38"/>
    </row>
    <row r="22" spans="2:14" ht="18" customHeight="1" x14ac:dyDescent="0.2">
      <c r="B22" s="23"/>
      <c r="C22" s="59"/>
      <c r="D22" s="60"/>
      <c r="E22" s="59"/>
      <c r="F22" s="60"/>
      <c r="G22" s="59"/>
      <c r="H22" s="60"/>
      <c r="I22" s="59"/>
      <c r="J22" s="65"/>
      <c r="K22" s="33" t="s">
        <v>14</v>
      </c>
      <c r="L22" s="8"/>
      <c r="M22" s="85"/>
      <c r="N22" s="86"/>
    </row>
    <row r="23" spans="2:14" ht="18" customHeight="1" x14ac:dyDescent="0.2">
      <c r="B23" s="24"/>
      <c r="C23" s="57"/>
      <c r="D23" s="58"/>
      <c r="E23" s="57"/>
      <c r="F23" s="58"/>
      <c r="G23" s="57"/>
      <c r="H23" s="58"/>
      <c r="I23" s="66"/>
      <c r="J23" s="67"/>
      <c r="K23" s="34"/>
      <c r="L23" s="9"/>
      <c r="M23" s="35"/>
      <c r="N23" s="36"/>
    </row>
    <row r="24" spans="2:14" ht="18" customHeight="1" x14ac:dyDescent="0.2">
      <c r="B24" s="23"/>
      <c r="C24" s="59"/>
      <c r="D24" s="60"/>
      <c r="E24" s="59"/>
      <c r="F24" s="60"/>
      <c r="G24" s="59"/>
      <c r="H24" s="60"/>
      <c r="I24" s="59"/>
      <c r="J24" s="65"/>
      <c r="K24" s="34"/>
      <c r="L24" s="9">
        <v>10</v>
      </c>
      <c r="M24" s="35" t="s">
        <v>60</v>
      </c>
      <c r="N24" s="36"/>
    </row>
    <row r="25" spans="2:14" ht="18" customHeight="1" x14ac:dyDescent="0.2">
      <c r="B25" s="24"/>
      <c r="C25" s="57"/>
      <c r="D25" s="58"/>
      <c r="E25" s="57"/>
      <c r="F25" s="58"/>
      <c r="G25" s="57"/>
      <c r="H25" s="58"/>
      <c r="I25" s="66"/>
      <c r="J25" s="67"/>
      <c r="K25" s="34"/>
      <c r="L25" s="9"/>
      <c r="M25" s="35"/>
      <c r="N25" s="36"/>
    </row>
    <row r="26" spans="2:14" ht="18" customHeight="1" x14ac:dyDescent="0.2">
      <c r="B26" s="23"/>
      <c r="C26" s="59"/>
      <c r="D26" s="60"/>
      <c r="E26" s="59"/>
      <c r="F26" s="60"/>
      <c r="G26" s="59"/>
      <c r="H26" s="60"/>
      <c r="I26" s="59"/>
      <c r="J26" s="65"/>
      <c r="K26" s="10"/>
      <c r="L26" s="9"/>
      <c r="M26" s="35"/>
      <c r="N26" s="36"/>
    </row>
    <row r="27" spans="2:14" ht="18" customHeight="1" x14ac:dyDescent="0.2">
      <c r="B27" s="24"/>
      <c r="C27" s="57"/>
      <c r="D27" s="58"/>
      <c r="E27" s="57"/>
      <c r="F27" s="58"/>
      <c r="G27" s="57"/>
      <c r="H27" s="58"/>
      <c r="I27" s="66"/>
      <c r="J27" s="67"/>
      <c r="K27" s="16"/>
      <c r="L27" s="17"/>
      <c r="M27" s="37"/>
      <c r="N27" s="38"/>
    </row>
    <row r="28" spans="2:14" ht="18" customHeight="1" x14ac:dyDescent="0.2">
      <c r="B28" s="23"/>
      <c r="C28" s="59"/>
      <c r="D28" s="60"/>
      <c r="E28" s="59"/>
      <c r="F28" s="60"/>
      <c r="G28" s="59"/>
      <c r="H28" s="60"/>
      <c r="I28" s="59"/>
      <c r="J28" s="65"/>
      <c r="K28" s="41" t="s">
        <v>15</v>
      </c>
      <c r="L28" s="8"/>
      <c r="M28" s="85"/>
      <c r="N28" s="86"/>
    </row>
    <row r="29" spans="2:14" ht="18" customHeight="1" x14ac:dyDescent="0.2">
      <c r="B29" s="24"/>
      <c r="C29" s="57"/>
      <c r="D29" s="58"/>
      <c r="E29" s="57"/>
      <c r="F29" s="58"/>
      <c r="G29" s="57"/>
      <c r="H29" s="58"/>
      <c r="I29" s="57"/>
      <c r="J29" s="89"/>
      <c r="K29" s="42"/>
      <c r="L29" s="9"/>
      <c r="M29" s="35"/>
      <c r="N29" s="36"/>
    </row>
    <row r="30" spans="2:14" ht="18" customHeight="1" x14ac:dyDescent="0.2">
      <c r="B30" s="23"/>
      <c r="C30" s="59"/>
      <c r="D30" s="60"/>
      <c r="E30" s="59"/>
      <c r="F30" s="60"/>
      <c r="G30" s="59"/>
      <c r="H30" s="60"/>
      <c r="I30" s="87"/>
      <c r="J30" s="88"/>
      <c r="K30" s="42"/>
      <c r="L30" s="9"/>
      <c r="M30" s="35"/>
      <c r="N30" s="36"/>
    </row>
    <row r="31" spans="2:14" ht="18" customHeight="1" x14ac:dyDescent="0.2">
      <c r="B31" s="24"/>
      <c r="C31" s="57"/>
      <c r="D31" s="58"/>
      <c r="E31" s="57"/>
      <c r="F31" s="58"/>
      <c r="G31" s="57"/>
      <c r="H31" s="58"/>
      <c r="I31" s="57"/>
      <c r="J31" s="89"/>
      <c r="K31" s="18"/>
      <c r="L31" s="9"/>
      <c r="M31" s="35"/>
      <c r="N31" s="36"/>
    </row>
    <row r="32" spans="2:14" ht="18" customHeight="1" x14ac:dyDescent="0.2">
      <c r="B32" s="23"/>
      <c r="C32" s="59"/>
      <c r="D32" s="60"/>
      <c r="E32" s="59"/>
      <c r="F32" s="60"/>
      <c r="G32" s="59"/>
      <c r="H32" s="60"/>
      <c r="I32" s="90"/>
      <c r="J32" s="91"/>
      <c r="K32" s="18"/>
      <c r="L32" s="9"/>
      <c r="M32" s="35"/>
      <c r="N32" s="36"/>
    </row>
    <row r="33" spans="2:14" ht="18" customHeight="1" x14ac:dyDescent="0.2">
      <c r="B33" s="28"/>
      <c r="C33" s="100"/>
      <c r="D33" s="101"/>
      <c r="E33" s="100"/>
      <c r="F33" s="101"/>
      <c r="G33" s="100"/>
      <c r="H33" s="101"/>
      <c r="I33" s="102"/>
      <c r="J33" s="103"/>
      <c r="K33" s="20"/>
      <c r="L33" s="21"/>
      <c r="M33" s="83"/>
      <c r="N33" s="84"/>
    </row>
    <row r="34" spans="2:14" ht="16.5" customHeight="1" x14ac:dyDescent="0.2">
      <c r="K34" s="1" t="s">
        <v>63</v>
      </c>
    </row>
    <row r="35" spans="2:14" ht="16.5" customHeight="1" x14ac:dyDescent="0.2">
      <c r="K35" s="1" t="s">
        <v>62</v>
      </c>
    </row>
    <row r="36" spans="2:14" ht="16.5" customHeight="1" x14ac:dyDescent="0.2">
      <c r="K36" s="1" t="s">
        <v>28</v>
      </c>
    </row>
    <row r="37" spans="2:14" ht="16.5" customHeight="1" x14ac:dyDescent="0.2">
      <c r="K37" s="1" t="s">
        <v>34</v>
      </c>
    </row>
  </sheetData>
  <mergeCells count="120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C19:D19"/>
    <mergeCell ref="E19:F19"/>
    <mergeCell ref="G19:H19"/>
    <mergeCell ref="I19:J19"/>
    <mergeCell ref="M19:N19"/>
    <mergeCell ref="C20:D20"/>
    <mergeCell ref="E20:F20"/>
    <mergeCell ref="G20:H20"/>
    <mergeCell ref="M20:N20"/>
    <mergeCell ref="I20:J21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K16:K18"/>
    <mergeCell ref="M16:N16"/>
    <mergeCell ref="C17:D17"/>
    <mergeCell ref="E17:F17"/>
    <mergeCell ref="G17:H17"/>
    <mergeCell ref="I16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42" priority="6" stopIfTrue="1">
      <formula>DAY(C4)&gt;8</formula>
    </cfRule>
  </conditionalFormatting>
  <conditionalFormatting sqref="C8:I10">
    <cfRule type="expression" dxfId="41" priority="5" stopIfTrue="1">
      <formula>AND(DAY(C8)&gt;=1,DAY(C8)&lt;=15)</formula>
    </cfRule>
  </conditionalFormatting>
  <conditionalFormatting sqref="C4:I9">
    <cfRule type="expression" dxfId="40" priority="7">
      <formula>VLOOKUP(DAY(C4),DíasDeTareas,1,FALSE)=DAY(C4)</formula>
    </cfRule>
  </conditionalFormatting>
  <conditionalFormatting sqref="B14:J15 B22:J33 B16:H21">
    <cfRule type="expression" dxfId="39" priority="4">
      <formula>B14&lt;&gt;""</formula>
    </cfRule>
  </conditionalFormatting>
  <conditionalFormatting sqref="I18:J19">
    <cfRule type="expression" dxfId="38" priority="3">
      <formula>I18&lt;&gt;""</formula>
    </cfRule>
  </conditionalFormatting>
  <conditionalFormatting sqref="I16">
    <cfRule type="expression" dxfId="37" priority="2">
      <formula>I16&lt;&gt;""</formula>
    </cfRule>
  </conditionalFormatting>
  <conditionalFormatting sqref="I20">
    <cfRule type="expression" dxfId="36" priority="1">
      <formula>I20&lt;&gt;""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37"/>
  <sheetViews>
    <sheetView showGridLines="0" topLeftCell="A10" zoomScaleNormal="100" zoomScalePageLayoutView="84" workbookViewId="0">
      <selection activeCell="M34" sqref="M34"/>
    </sheetView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style="1" customWidth="1"/>
    <col min="13" max="13" width="51.42578125" style="1" customWidth="1"/>
    <col min="14" max="14" width="10.7109375" style="1" customWidth="1"/>
    <col min="15" max="15" width="2.28515625" style="1" customWidth="1"/>
    <col min="16" max="22" width="8.85546875" style="1" customWidth="1"/>
    <col min="23" max="16384" width="8.7109375" style="1"/>
  </cols>
  <sheetData>
    <row r="1" spans="1:14" ht="11.25" customHeight="1" x14ac:dyDescent="0.2"/>
    <row r="2" spans="1:14" ht="18" customHeight="1" x14ac:dyDescent="0.2">
      <c r="A2" s="2"/>
      <c r="B2" s="77" t="s">
        <v>23</v>
      </c>
      <c r="C2" s="3"/>
      <c r="D2" s="3"/>
      <c r="E2" s="3"/>
      <c r="F2" s="3"/>
      <c r="G2" s="3"/>
      <c r="H2" s="3"/>
      <c r="I2" s="3"/>
      <c r="J2" s="4"/>
      <c r="K2" s="46" t="s">
        <v>2</v>
      </c>
      <c r="L2" s="47">
        <v>2013</v>
      </c>
      <c r="M2" s="47"/>
      <c r="N2" s="26"/>
    </row>
    <row r="3" spans="1:14" ht="21" customHeight="1" x14ac:dyDescent="0.2">
      <c r="A3" s="2"/>
      <c r="B3" s="78"/>
      <c r="C3" s="5" t="s">
        <v>4</v>
      </c>
      <c r="D3" s="5" t="s">
        <v>1</v>
      </c>
      <c r="E3" s="5" t="s">
        <v>5</v>
      </c>
      <c r="F3" s="5" t="s">
        <v>6</v>
      </c>
      <c r="G3" s="5" t="s">
        <v>7</v>
      </c>
      <c r="H3" s="5" t="s">
        <v>0</v>
      </c>
      <c r="I3" s="5" t="s">
        <v>8</v>
      </c>
      <c r="J3" s="6"/>
      <c r="K3" s="48"/>
      <c r="L3" s="49"/>
      <c r="M3" s="49"/>
      <c r="N3" s="27"/>
    </row>
    <row r="4" spans="1:14" ht="18" customHeight="1" x14ac:dyDescent="0.2">
      <c r="A4" s="2"/>
      <c r="B4" s="78"/>
      <c r="C4" s="7">
        <f>IF(DAY(AbrDom1)=1,AbrDom1-6,AbrDom1+1)</f>
        <v>42457</v>
      </c>
      <c r="D4" s="7">
        <f>IF(DAY(AbrDom1)=1,AbrDom1-5,AbrDom1+2)</f>
        <v>42458</v>
      </c>
      <c r="E4" s="7">
        <f>IF(DAY(AbrDom1)=1,AbrDom1-4,AbrDom1+3)</f>
        <v>42459</v>
      </c>
      <c r="F4" s="7">
        <f>IF(DAY(AbrDom1)=1,AbrDom1-3,AbrDom1+4)</f>
        <v>42460</v>
      </c>
      <c r="G4" s="7">
        <f>IF(DAY(AbrDom1)=1,AbrDom1-2,AbrDom1+5)</f>
        <v>42461</v>
      </c>
      <c r="H4" s="7">
        <f>IF(DAY(AbrDom1)=1,AbrDom1-1,AbrDom1+6)</f>
        <v>42462</v>
      </c>
      <c r="I4" s="7">
        <f>IF(DAY(AbrDom1)=1,AbrDom1,AbrDom1+7)</f>
        <v>42463</v>
      </c>
      <c r="J4" s="6"/>
      <c r="K4" s="50" t="s">
        <v>11</v>
      </c>
      <c r="L4" s="8"/>
      <c r="M4" s="94"/>
      <c r="N4" s="95"/>
    </row>
    <row r="5" spans="1:14" ht="18" customHeight="1" x14ac:dyDescent="0.2">
      <c r="A5" s="2"/>
      <c r="B5" s="78"/>
      <c r="C5" s="7">
        <f>IF(DAY(AbrDom1)=1,AbrDom1+1,AbrDom1+8)</f>
        <v>42464</v>
      </c>
      <c r="D5" s="7">
        <f>IF(DAY(AbrDom1)=1,AbrDom1+2,AbrDom1+9)</f>
        <v>42465</v>
      </c>
      <c r="E5" s="7">
        <f>IF(DAY(AbrDom1)=1,AbrDom1+3,AbrDom1+10)</f>
        <v>42466</v>
      </c>
      <c r="F5" s="7">
        <f>IF(DAY(AbrDom1)=1,AbrDom1+4,AbrDom1+11)</f>
        <v>42467</v>
      </c>
      <c r="G5" s="7">
        <f>IF(DAY(AbrDom1)=1,AbrDom1+5,AbrDom1+12)</f>
        <v>42468</v>
      </c>
      <c r="H5" s="7">
        <f>IF(DAY(AbrDom1)=1,AbrDom1+6,AbrDom1+13)</f>
        <v>42469</v>
      </c>
      <c r="I5" s="7">
        <f>IF(DAY(AbrDom1)=1,AbrDom1+7,AbrDom1+14)</f>
        <v>42470</v>
      </c>
      <c r="J5" s="6"/>
      <c r="K5" s="42"/>
      <c r="L5" s="9"/>
      <c r="M5" s="35"/>
      <c r="N5" s="36"/>
    </row>
    <row r="6" spans="1:14" ht="18" customHeight="1" x14ac:dyDescent="0.2">
      <c r="A6" s="2"/>
      <c r="B6" s="78"/>
      <c r="C6" s="7">
        <f>IF(DAY(AbrDom1)=1,AbrDom1+8,AbrDom1+15)</f>
        <v>42471</v>
      </c>
      <c r="D6" s="7">
        <f>IF(DAY(AbrDom1)=1,AbrDom1+9,AbrDom1+16)</f>
        <v>42472</v>
      </c>
      <c r="E6" s="7">
        <f>IF(DAY(AbrDom1)=1,AbrDom1+10,AbrDom1+17)</f>
        <v>42473</v>
      </c>
      <c r="F6" s="7">
        <f>IF(DAY(AbrDom1)=1,AbrDom1+11,AbrDom1+18)</f>
        <v>42474</v>
      </c>
      <c r="G6" s="7">
        <f>IF(DAY(AbrDom1)=1,AbrDom1+12,AbrDom1+19)</f>
        <v>42475</v>
      </c>
      <c r="H6" s="7">
        <f>IF(DAY(AbrDom1)=1,AbrDom1+13,AbrDom1+20)</f>
        <v>42476</v>
      </c>
      <c r="I6" s="7">
        <f>IF(DAY(AbrDom1)=1,AbrDom1+14,AbrDom1+21)</f>
        <v>42477</v>
      </c>
      <c r="J6" s="6"/>
      <c r="K6" s="42"/>
      <c r="L6" s="9"/>
      <c r="M6" s="35"/>
      <c r="N6" s="36"/>
    </row>
    <row r="7" spans="1:14" ht="18" customHeight="1" x14ac:dyDescent="0.2">
      <c r="A7" s="2"/>
      <c r="B7" s="78"/>
      <c r="C7" s="7">
        <f>IF(DAY(AbrDom1)=1,AbrDom1+15,AbrDom1+22)</f>
        <v>42478</v>
      </c>
      <c r="D7" s="7">
        <f>IF(DAY(AbrDom1)=1,AbrDom1+16,AbrDom1+23)</f>
        <v>42479</v>
      </c>
      <c r="E7" s="7">
        <f>IF(DAY(AbrDom1)=1,AbrDom1+17,AbrDom1+24)</f>
        <v>42480</v>
      </c>
      <c r="F7" s="7">
        <f>IF(DAY(AbrDom1)=1,AbrDom1+18,AbrDom1+25)</f>
        <v>42481</v>
      </c>
      <c r="G7" s="7">
        <f>IF(DAY(AbrDom1)=1,AbrDom1+19,AbrDom1+26)</f>
        <v>42482</v>
      </c>
      <c r="H7" s="7">
        <f>IF(DAY(AbrDom1)=1,AbrDom1+20,AbrDom1+27)</f>
        <v>42483</v>
      </c>
      <c r="I7" s="7">
        <f>IF(DAY(AbrDom1)=1,AbrDom1+21,AbrDom1+28)</f>
        <v>42484</v>
      </c>
      <c r="J7" s="6"/>
      <c r="K7" s="10"/>
      <c r="L7" s="9"/>
      <c r="M7" s="35"/>
      <c r="N7" s="36"/>
    </row>
    <row r="8" spans="1:14" ht="18.75" customHeight="1" x14ac:dyDescent="0.2">
      <c r="A8" s="2"/>
      <c r="B8" s="78"/>
      <c r="C8" s="7">
        <f>IF(DAY(AbrDom1)=1,AbrDom1+22,AbrDom1+29)</f>
        <v>42485</v>
      </c>
      <c r="D8" s="7">
        <f>IF(DAY(AbrDom1)=1,AbrDom1+23,AbrDom1+30)</f>
        <v>42486</v>
      </c>
      <c r="E8" s="7">
        <f>IF(DAY(AbrDom1)=1,AbrDom1+24,AbrDom1+31)</f>
        <v>42487</v>
      </c>
      <c r="F8" s="7">
        <f>IF(DAY(AbrDom1)=1,AbrDom1+25,AbrDom1+32)</f>
        <v>42488</v>
      </c>
      <c r="G8" s="7">
        <f>IF(DAY(AbrDom1)=1,AbrDom1+26,AbrDom1+33)</f>
        <v>42489</v>
      </c>
      <c r="H8" s="7">
        <f>IF(DAY(AbrDom1)=1,AbrDom1+27,AbrDom1+34)</f>
        <v>42490</v>
      </c>
      <c r="I8" s="7">
        <f>IF(DAY(AbrDom1)=1,AbrDom1+28,AbrDom1+35)</f>
        <v>42491</v>
      </c>
      <c r="J8" s="6"/>
      <c r="K8" s="10"/>
      <c r="L8" s="9">
        <v>25</v>
      </c>
      <c r="M8" s="35" t="s">
        <v>74</v>
      </c>
      <c r="N8" s="36"/>
    </row>
    <row r="9" spans="1:14" ht="18" customHeight="1" x14ac:dyDescent="0.2">
      <c r="A9" s="2"/>
      <c r="B9" s="78"/>
      <c r="C9" s="7">
        <f>IF(DAY(AbrDom1)=1,AbrDom1+29,AbrDom1+36)</f>
        <v>42492</v>
      </c>
      <c r="D9" s="7">
        <f>IF(DAY(AbrDom1)=1,AbrDom1+30,AbrDom1+37)</f>
        <v>42493</v>
      </c>
      <c r="E9" s="7">
        <f>IF(DAY(AbrDom1)=1,AbrDom1+31,AbrDom1+38)</f>
        <v>42494</v>
      </c>
      <c r="F9" s="7">
        <f>IF(DAY(AbrDom1)=1,AbrDom1+32,AbrDom1+39)</f>
        <v>42495</v>
      </c>
      <c r="G9" s="7">
        <f>IF(DAY(AbrDom1)=1,AbrDom1+33,AbrDom1+40)</f>
        <v>42496</v>
      </c>
      <c r="H9" s="7">
        <f>IF(DAY(AbrDom1)=1,AbrDom1+34,AbrDom1+41)</f>
        <v>42497</v>
      </c>
      <c r="I9" s="7">
        <f>IF(DAY(AbrDom1)=1,AbrDom1+35,AbrDom1+42)</f>
        <v>42498</v>
      </c>
      <c r="J9" s="6"/>
      <c r="K9" s="11"/>
      <c r="L9" s="12"/>
      <c r="M9" s="37"/>
      <c r="N9" s="38"/>
    </row>
    <row r="10" spans="1:14" ht="18" customHeight="1" x14ac:dyDescent="0.2">
      <c r="A10" s="2"/>
      <c r="B10" s="79"/>
      <c r="C10" s="13"/>
      <c r="D10" s="13"/>
      <c r="E10" s="13"/>
      <c r="F10" s="13"/>
      <c r="G10" s="13"/>
      <c r="H10" s="13"/>
      <c r="I10" s="13"/>
      <c r="J10" s="14"/>
      <c r="K10" s="41" t="s">
        <v>12</v>
      </c>
      <c r="L10" s="8"/>
      <c r="M10" s="85"/>
      <c r="N10" s="86"/>
    </row>
    <row r="11" spans="1:14" ht="18" customHeight="1" x14ac:dyDescent="0.2">
      <c r="A11" s="2"/>
      <c r="B11" s="80" t="s">
        <v>10</v>
      </c>
      <c r="C11" s="81"/>
      <c r="D11" s="81"/>
      <c r="E11" s="81"/>
      <c r="F11" s="81"/>
      <c r="G11" s="81"/>
      <c r="H11" s="81"/>
      <c r="I11" s="81"/>
      <c r="J11" s="82"/>
      <c r="K11" s="42"/>
      <c r="L11" s="9"/>
      <c r="M11" s="35"/>
      <c r="N11" s="36"/>
    </row>
    <row r="12" spans="1:14" ht="18" customHeight="1" x14ac:dyDescent="0.2">
      <c r="A12" s="2"/>
      <c r="B12" s="80"/>
      <c r="C12" s="81"/>
      <c r="D12" s="81"/>
      <c r="E12" s="81"/>
      <c r="F12" s="81"/>
      <c r="G12" s="81"/>
      <c r="H12" s="81"/>
      <c r="I12" s="81"/>
      <c r="J12" s="82"/>
      <c r="K12" s="42"/>
      <c r="L12" s="9"/>
      <c r="M12" s="35"/>
      <c r="N12" s="36"/>
    </row>
    <row r="13" spans="1:14" ht="18" customHeight="1" x14ac:dyDescent="0.2">
      <c r="B13" s="22" t="s">
        <v>11</v>
      </c>
      <c r="C13" s="43" t="s">
        <v>12</v>
      </c>
      <c r="D13" s="45"/>
      <c r="E13" s="43" t="s">
        <v>13</v>
      </c>
      <c r="F13" s="45"/>
      <c r="G13" s="43" t="s">
        <v>14</v>
      </c>
      <c r="H13" s="45"/>
      <c r="I13" s="43" t="s">
        <v>15</v>
      </c>
      <c r="J13" s="44"/>
      <c r="K13" s="10"/>
      <c r="L13" s="9"/>
      <c r="M13" s="35"/>
      <c r="N13" s="36"/>
    </row>
    <row r="14" spans="1:14" ht="18" customHeight="1" x14ac:dyDescent="0.2">
      <c r="B14" s="23"/>
      <c r="C14" s="59"/>
      <c r="D14" s="60"/>
      <c r="E14" s="59"/>
      <c r="F14" s="60"/>
      <c r="G14" s="59"/>
      <c r="H14" s="60"/>
      <c r="I14" s="59"/>
      <c r="J14" s="65"/>
      <c r="K14" s="10"/>
      <c r="L14" s="9"/>
      <c r="M14" s="35"/>
      <c r="N14" s="36"/>
    </row>
    <row r="15" spans="1:14" ht="18" customHeight="1" x14ac:dyDescent="0.2">
      <c r="B15" s="24"/>
      <c r="C15" s="57"/>
      <c r="D15" s="58"/>
      <c r="E15" s="57"/>
      <c r="F15" s="58"/>
      <c r="G15" s="57"/>
      <c r="H15" s="58"/>
      <c r="I15" s="66"/>
      <c r="J15" s="67"/>
      <c r="K15" s="16"/>
      <c r="L15" s="17"/>
      <c r="M15" s="37"/>
      <c r="N15" s="38"/>
    </row>
    <row r="16" spans="1:14" ht="18" customHeight="1" x14ac:dyDescent="0.2">
      <c r="B16" s="23"/>
      <c r="C16" s="59"/>
      <c r="D16" s="60"/>
      <c r="E16" s="59"/>
      <c r="F16" s="60"/>
      <c r="G16" s="59"/>
      <c r="H16" s="60"/>
      <c r="I16" s="90"/>
      <c r="J16" s="91"/>
      <c r="K16" s="33" t="s">
        <v>13</v>
      </c>
      <c r="L16" s="8"/>
      <c r="M16" s="85"/>
      <c r="N16" s="86"/>
    </row>
    <row r="17" spans="2:14" ht="18" customHeight="1" x14ac:dyDescent="0.2">
      <c r="B17" s="24"/>
      <c r="C17" s="57"/>
      <c r="D17" s="58"/>
      <c r="E17" s="57"/>
      <c r="F17" s="58"/>
      <c r="G17" s="57"/>
      <c r="H17" s="58"/>
      <c r="I17" s="66"/>
      <c r="J17" s="67"/>
      <c r="K17" s="34"/>
      <c r="L17" s="9"/>
      <c r="M17" s="35"/>
      <c r="N17" s="36"/>
    </row>
    <row r="18" spans="2:14" ht="18" customHeight="1" x14ac:dyDescent="0.2">
      <c r="B18" s="25"/>
      <c r="C18" s="63"/>
      <c r="D18" s="64"/>
      <c r="E18" s="63"/>
      <c r="F18" s="64"/>
      <c r="G18" s="63"/>
      <c r="H18" s="64"/>
      <c r="I18" s="63"/>
      <c r="J18" s="76"/>
      <c r="K18" s="34"/>
      <c r="L18" s="9"/>
      <c r="M18" s="35"/>
      <c r="N18" s="36"/>
    </row>
    <row r="19" spans="2:14" ht="18" customHeight="1" x14ac:dyDescent="0.2">
      <c r="B19" s="24"/>
      <c r="C19" s="57"/>
      <c r="D19" s="58"/>
      <c r="E19" s="57"/>
      <c r="F19" s="58"/>
      <c r="G19" s="57"/>
      <c r="H19" s="58"/>
      <c r="I19" s="66"/>
      <c r="J19" s="67"/>
      <c r="K19" s="10"/>
      <c r="L19" s="9"/>
      <c r="M19" s="35"/>
      <c r="N19" s="36"/>
    </row>
    <row r="20" spans="2:14" ht="18" customHeight="1" x14ac:dyDescent="0.2">
      <c r="B20" s="23"/>
      <c r="C20" s="59"/>
      <c r="D20" s="60"/>
      <c r="E20" s="59"/>
      <c r="F20" s="60"/>
      <c r="G20" s="59"/>
      <c r="H20" s="60"/>
      <c r="I20" s="59"/>
      <c r="J20" s="65"/>
      <c r="K20" s="10"/>
      <c r="L20" s="9"/>
      <c r="M20" s="35"/>
      <c r="N20" s="36"/>
    </row>
    <row r="21" spans="2:14" ht="18" customHeight="1" x14ac:dyDescent="0.2">
      <c r="B21" s="24"/>
      <c r="C21" s="57"/>
      <c r="D21" s="58"/>
      <c r="E21" s="57"/>
      <c r="F21" s="58"/>
      <c r="G21" s="57"/>
      <c r="H21" s="58"/>
      <c r="I21" s="104"/>
      <c r="J21" s="105"/>
      <c r="K21" s="16"/>
      <c r="L21" s="17"/>
      <c r="M21" s="37"/>
      <c r="N21" s="38"/>
    </row>
    <row r="22" spans="2:14" ht="18" customHeight="1" x14ac:dyDescent="0.2">
      <c r="B22" s="23"/>
      <c r="C22" s="59"/>
      <c r="D22" s="60"/>
      <c r="E22" s="59"/>
      <c r="F22" s="60"/>
      <c r="G22" s="59"/>
      <c r="H22" s="60"/>
      <c r="I22" s="59"/>
      <c r="J22" s="65"/>
      <c r="K22" s="33" t="s">
        <v>14</v>
      </c>
      <c r="L22" s="8">
        <v>7</v>
      </c>
      <c r="M22" s="85" t="s">
        <v>73</v>
      </c>
      <c r="N22" s="86"/>
    </row>
    <row r="23" spans="2:14" ht="18" customHeight="1" x14ac:dyDescent="0.2">
      <c r="B23" s="24"/>
      <c r="C23" s="57"/>
      <c r="D23" s="58"/>
      <c r="E23" s="57"/>
      <c r="F23" s="58"/>
      <c r="G23" s="57"/>
      <c r="H23" s="58"/>
      <c r="I23" s="66"/>
      <c r="J23" s="67"/>
      <c r="K23" s="34"/>
      <c r="L23" s="9"/>
      <c r="M23" s="35"/>
      <c r="N23" s="36"/>
    </row>
    <row r="24" spans="2:14" ht="18" customHeight="1" x14ac:dyDescent="0.2">
      <c r="B24" s="23"/>
      <c r="C24" s="59"/>
      <c r="D24" s="60"/>
      <c r="E24" s="59"/>
      <c r="F24" s="60"/>
      <c r="G24" s="59"/>
      <c r="H24" s="60"/>
      <c r="I24" s="59"/>
      <c r="J24" s="65"/>
      <c r="K24" s="34"/>
      <c r="L24" s="9">
        <v>21</v>
      </c>
      <c r="M24" s="35" t="s">
        <v>66</v>
      </c>
      <c r="N24" s="36"/>
    </row>
    <row r="25" spans="2:14" ht="18" customHeight="1" x14ac:dyDescent="0.2">
      <c r="B25" s="24"/>
      <c r="C25" s="57"/>
      <c r="D25" s="58"/>
      <c r="E25" s="57"/>
      <c r="F25" s="58"/>
      <c r="G25" s="57"/>
      <c r="H25" s="58"/>
      <c r="I25" s="66"/>
      <c r="J25" s="67"/>
      <c r="K25" s="34"/>
      <c r="L25" s="9"/>
      <c r="M25" s="35"/>
      <c r="N25" s="36"/>
    </row>
    <row r="26" spans="2:14" ht="18" customHeight="1" x14ac:dyDescent="0.2">
      <c r="B26" s="23"/>
      <c r="C26" s="59"/>
      <c r="D26" s="60"/>
      <c r="E26" s="59"/>
      <c r="F26" s="60"/>
      <c r="G26" s="59"/>
      <c r="H26" s="60"/>
      <c r="I26" s="59"/>
      <c r="J26" s="65"/>
      <c r="K26" s="10"/>
      <c r="L26" s="9"/>
      <c r="M26" s="35"/>
      <c r="N26" s="36"/>
    </row>
    <row r="27" spans="2:14" ht="18" customHeight="1" x14ac:dyDescent="0.2">
      <c r="B27" s="24"/>
      <c r="C27" s="57"/>
      <c r="D27" s="58"/>
      <c r="E27" s="57"/>
      <c r="F27" s="58"/>
      <c r="G27" s="57"/>
      <c r="H27" s="58"/>
      <c r="I27" s="66"/>
      <c r="J27" s="67"/>
      <c r="K27" s="16"/>
      <c r="L27" s="17"/>
      <c r="M27" s="37"/>
      <c r="N27" s="38"/>
    </row>
    <row r="28" spans="2:14" ht="18" customHeight="1" x14ac:dyDescent="0.2">
      <c r="B28" s="23"/>
      <c r="C28" s="59"/>
      <c r="D28" s="60"/>
      <c r="E28" s="59"/>
      <c r="F28" s="60"/>
      <c r="G28" s="59"/>
      <c r="H28" s="60"/>
      <c r="I28" s="59"/>
      <c r="J28" s="65"/>
      <c r="K28" s="41" t="s">
        <v>15</v>
      </c>
      <c r="L28" s="8">
        <v>8</v>
      </c>
      <c r="M28" s="85" t="s">
        <v>73</v>
      </c>
      <c r="N28" s="86"/>
    </row>
    <row r="29" spans="2:14" ht="18" customHeight="1" x14ac:dyDescent="0.2">
      <c r="B29" s="24"/>
      <c r="C29" s="57"/>
      <c r="D29" s="58"/>
      <c r="E29" s="57"/>
      <c r="F29" s="58"/>
      <c r="G29" s="57"/>
      <c r="H29" s="58"/>
      <c r="I29" s="57"/>
      <c r="J29" s="89"/>
      <c r="K29" s="42"/>
      <c r="L29" s="9"/>
      <c r="M29" s="35"/>
      <c r="N29" s="36"/>
    </row>
    <row r="30" spans="2:14" ht="18" customHeight="1" x14ac:dyDescent="0.2">
      <c r="B30" s="23"/>
      <c r="C30" s="59"/>
      <c r="D30" s="60"/>
      <c r="E30" s="59"/>
      <c r="F30" s="60"/>
      <c r="G30" s="59"/>
      <c r="H30" s="60"/>
      <c r="I30" s="87"/>
      <c r="J30" s="88"/>
      <c r="K30" s="42"/>
      <c r="L30" s="9"/>
      <c r="M30" s="35"/>
      <c r="N30" s="36"/>
    </row>
    <row r="31" spans="2:14" ht="18" customHeight="1" x14ac:dyDescent="0.2">
      <c r="B31" s="24"/>
      <c r="C31" s="57"/>
      <c r="D31" s="58"/>
      <c r="E31" s="57"/>
      <c r="F31" s="58"/>
      <c r="G31" s="57"/>
      <c r="H31" s="58"/>
      <c r="I31" s="57"/>
      <c r="J31" s="89"/>
      <c r="K31" s="18"/>
      <c r="L31" s="9"/>
      <c r="M31" s="35"/>
      <c r="N31" s="36"/>
    </row>
    <row r="32" spans="2:14" ht="18" customHeight="1" x14ac:dyDescent="0.2">
      <c r="B32" s="23"/>
      <c r="C32" s="59"/>
      <c r="D32" s="60"/>
      <c r="E32" s="59"/>
      <c r="F32" s="60"/>
      <c r="G32" s="59"/>
      <c r="H32" s="60"/>
      <c r="I32" s="90"/>
      <c r="J32" s="91"/>
      <c r="K32" s="18"/>
      <c r="L32" s="9"/>
      <c r="M32" s="35"/>
      <c r="N32" s="36"/>
    </row>
    <row r="33" spans="2:14" ht="18" customHeight="1" x14ac:dyDescent="0.2">
      <c r="B33" s="28"/>
      <c r="C33" s="100"/>
      <c r="D33" s="101"/>
      <c r="E33" s="100"/>
      <c r="F33" s="101"/>
      <c r="G33" s="100"/>
      <c r="H33" s="101"/>
      <c r="I33" s="102"/>
      <c r="J33" s="103"/>
      <c r="K33" s="20"/>
      <c r="L33" s="21"/>
      <c r="M33" s="83"/>
      <c r="N33" s="84"/>
    </row>
    <row r="36" spans="2:14" ht="16.5" customHeight="1" x14ac:dyDescent="0.2">
      <c r="L36" s="1" t="s">
        <v>28</v>
      </c>
    </row>
    <row r="37" spans="2:14" ht="16.5" customHeight="1" x14ac:dyDescent="0.2">
      <c r="L37" s="1" t="s">
        <v>34</v>
      </c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VLOOKUP(DAY(C4),DíasDeTareas,1,FALSE)=DAY(C4)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37"/>
  <sheetViews>
    <sheetView showGridLines="0" tabSelected="1" zoomScaleNormal="100" zoomScalePageLayoutView="84" workbookViewId="0">
      <selection activeCell="M20" sqref="M20:N20"/>
    </sheetView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style="1" customWidth="1"/>
    <col min="13" max="13" width="51.42578125" style="1" customWidth="1"/>
    <col min="14" max="14" width="10.7109375" style="1" customWidth="1"/>
    <col min="15" max="15" width="2.28515625" style="1" customWidth="1"/>
    <col min="16" max="22" width="8.85546875" style="1" customWidth="1"/>
    <col min="23" max="16384" width="8.7109375" style="1"/>
  </cols>
  <sheetData>
    <row r="1" spans="1:14" ht="11.25" customHeight="1" x14ac:dyDescent="0.2"/>
    <row r="2" spans="1:14" ht="18" customHeight="1" x14ac:dyDescent="0.2">
      <c r="A2" s="2"/>
      <c r="B2" s="77" t="s">
        <v>22</v>
      </c>
      <c r="C2" s="3"/>
      <c r="D2" s="3"/>
      <c r="E2" s="3"/>
      <c r="F2" s="3"/>
      <c r="G2" s="3"/>
      <c r="H2" s="3"/>
      <c r="I2" s="3"/>
      <c r="J2" s="4"/>
      <c r="K2" s="46" t="s">
        <v>2</v>
      </c>
      <c r="L2" s="47">
        <v>2013</v>
      </c>
      <c r="M2" s="47"/>
      <c r="N2" s="26"/>
    </row>
    <row r="3" spans="1:14" ht="21" customHeight="1" x14ac:dyDescent="0.2">
      <c r="A3" s="2"/>
      <c r="B3" s="78"/>
      <c r="C3" s="5" t="s">
        <v>4</v>
      </c>
      <c r="D3" s="5" t="s">
        <v>1</v>
      </c>
      <c r="E3" s="5" t="s">
        <v>5</v>
      </c>
      <c r="F3" s="5" t="s">
        <v>6</v>
      </c>
      <c r="G3" s="5" t="s">
        <v>7</v>
      </c>
      <c r="H3" s="5" t="s">
        <v>0</v>
      </c>
      <c r="I3" s="5" t="s">
        <v>8</v>
      </c>
      <c r="J3" s="6"/>
      <c r="K3" s="48"/>
      <c r="L3" s="49"/>
      <c r="M3" s="49"/>
      <c r="N3" s="27"/>
    </row>
    <row r="4" spans="1:14" ht="18" customHeight="1" x14ac:dyDescent="0.2">
      <c r="A4" s="2"/>
      <c r="B4" s="78"/>
      <c r="C4" s="7">
        <f>IF(DAY(MayDom1)=1,MayDom1-6,MayDom1+1)</f>
        <v>42485</v>
      </c>
      <c r="D4" s="7">
        <f>IF(DAY(MayDom1)=1,MayDom1-5,MayDom1+2)</f>
        <v>42486</v>
      </c>
      <c r="E4" s="7">
        <f>IF(DAY(MayDom1)=1,MayDom1-4,MayDom1+3)</f>
        <v>42487</v>
      </c>
      <c r="F4" s="7">
        <f>IF(DAY(MayDom1)=1,MayDom1-3,MayDom1+4)</f>
        <v>42488</v>
      </c>
      <c r="G4" s="7">
        <f>IF(DAY(MayDom1)=1,MayDom1-2,MayDom1+5)</f>
        <v>42489</v>
      </c>
      <c r="H4" s="7">
        <f>IF(DAY(MayDom1)=1,MayDom1-1,MayDom1+6)</f>
        <v>42490</v>
      </c>
      <c r="I4" s="7">
        <f>IF(DAY(MayDom1)=1,MayDom1,MayDom1+7)</f>
        <v>42491</v>
      </c>
      <c r="J4" s="6"/>
      <c r="K4" s="50"/>
      <c r="L4" s="8">
        <v>2</v>
      </c>
      <c r="M4" s="94" t="s">
        <v>69</v>
      </c>
      <c r="N4" s="95"/>
    </row>
    <row r="5" spans="1:14" ht="18" customHeight="1" x14ac:dyDescent="0.2">
      <c r="A5" s="2"/>
      <c r="B5" s="78"/>
      <c r="C5" s="7">
        <f>IF(DAY(MayDom1)=1,MayDom1+1,MayDom1+8)</f>
        <v>42492</v>
      </c>
      <c r="D5" s="7">
        <f>IF(DAY(MayDom1)=1,MayDom1+2,MayDom1+9)</f>
        <v>42493</v>
      </c>
      <c r="E5" s="7">
        <f>IF(DAY(MayDom1)=1,MayDom1+3,MayDom1+10)</f>
        <v>42494</v>
      </c>
      <c r="F5" s="7">
        <f>IF(DAY(MayDom1)=1,MayDom1+4,MayDom1+11)</f>
        <v>42495</v>
      </c>
      <c r="G5" s="7">
        <f>IF(DAY(MayDom1)=1,MayDom1+5,MayDom1+12)</f>
        <v>42496</v>
      </c>
      <c r="H5" s="7">
        <f>IF(DAY(MayDom1)=1,MayDom1+6,MayDom1+13)</f>
        <v>42497</v>
      </c>
      <c r="I5" s="7">
        <f>IF(DAY(MayDom1)=1,MayDom1+7,MayDom1+14)</f>
        <v>42498</v>
      </c>
      <c r="J5" s="6"/>
      <c r="K5" s="42"/>
      <c r="L5" s="9">
        <v>9</v>
      </c>
      <c r="M5" s="35" t="s">
        <v>67</v>
      </c>
      <c r="N5" s="36"/>
    </row>
    <row r="6" spans="1:14" ht="18" customHeight="1" x14ac:dyDescent="0.2">
      <c r="A6" s="2"/>
      <c r="B6" s="78"/>
      <c r="C6" s="7">
        <f>IF(DAY(MayDom1)=1,MayDom1+8,MayDom1+15)</f>
        <v>42499</v>
      </c>
      <c r="D6" s="7">
        <f>IF(DAY(MayDom1)=1,MayDom1+9,MayDom1+16)</f>
        <v>42500</v>
      </c>
      <c r="E6" s="7">
        <f>IF(DAY(MayDom1)=1,MayDom1+10,MayDom1+17)</f>
        <v>42501</v>
      </c>
      <c r="F6" s="7">
        <f>IF(DAY(MayDom1)=1,MayDom1+11,MayDom1+18)</f>
        <v>42502</v>
      </c>
      <c r="G6" s="7">
        <f>IF(DAY(MayDom1)=1,MayDom1+12,MayDom1+19)</f>
        <v>42503</v>
      </c>
      <c r="H6" s="7">
        <f>IF(DAY(MayDom1)=1,MayDom1+13,MayDom1+20)</f>
        <v>42504</v>
      </c>
      <c r="I6" s="7">
        <f>IF(DAY(MayDom1)=1,MayDom1+14,MayDom1+21)</f>
        <v>42505</v>
      </c>
      <c r="J6" s="6"/>
      <c r="K6" s="42"/>
      <c r="L6" s="9">
        <v>16</v>
      </c>
      <c r="M6" s="35" t="s">
        <v>72</v>
      </c>
      <c r="N6" s="36"/>
    </row>
    <row r="7" spans="1:14" ht="18" customHeight="1" x14ac:dyDescent="0.2">
      <c r="A7" s="2"/>
      <c r="B7" s="78"/>
      <c r="C7" s="7">
        <f>IF(DAY(MayDom1)=1,MayDom1+15,MayDom1+22)</f>
        <v>42506</v>
      </c>
      <c r="D7" s="7">
        <f>IF(DAY(MayDom1)=1,MayDom1+16,MayDom1+23)</f>
        <v>42507</v>
      </c>
      <c r="E7" s="7">
        <f>IF(DAY(MayDom1)=1,MayDom1+17,MayDom1+24)</f>
        <v>42508</v>
      </c>
      <c r="F7" s="7">
        <f>IF(DAY(MayDom1)=1,MayDom1+18,MayDom1+25)</f>
        <v>42509</v>
      </c>
      <c r="G7" s="7">
        <f>IF(DAY(MayDom1)=1,MayDom1+19,MayDom1+26)</f>
        <v>42510</v>
      </c>
      <c r="H7" s="7">
        <f>IF(DAY(MayDom1)=1,MayDom1+20,MayDom1+27)</f>
        <v>42511</v>
      </c>
      <c r="I7" s="7">
        <f>IF(DAY(MayDom1)=1,MayDom1+21,MayDom1+28)</f>
        <v>42512</v>
      </c>
      <c r="J7" s="6"/>
      <c r="K7" s="10"/>
      <c r="L7" s="9"/>
      <c r="M7" s="35"/>
      <c r="N7" s="36"/>
    </row>
    <row r="8" spans="1:14" ht="18.75" customHeight="1" x14ac:dyDescent="0.2">
      <c r="A8" s="2"/>
      <c r="B8" s="78"/>
      <c r="C8" s="7">
        <f>IF(DAY(MayDom1)=1,MayDom1+22,MayDom1+29)</f>
        <v>42513</v>
      </c>
      <c r="D8" s="7">
        <f>IF(DAY(MayDom1)=1,MayDom1+23,MayDom1+30)</f>
        <v>42514</v>
      </c>
      <c r="E8" s="7">
        <f>IF(DAY(MayDom1)=1,MayDom1+24,MayDom1+31)</f>
        <v>42515</v>
      </c>
      <c r="F8" s="7">
        <f>IF(DAY(MayDom1)=1,MayDom1+25,MayDom1+32)</f>
        <v>42516</v>
      </c>
      <c r="G8" s="7">
        <f>IF(DAY(MayDom1)=1,MayDom1+26,MayDom1+33)</f>
        <v>42517</v>
      </c>
      <c r="H8" s="7">
        <f>IF(DAY(MayDom1)=1,MayDom1+27,MayDom1+34)</f>
        <v>42518</v>
      </c>
      <c r="I8" s="7">
        <f>IF(DAY(MayDom1)=1,MayDom1+28,MayDom1+35)</f>
        <v>42519</v>
      </c>
      <c r="J8" s="6"/>
      <c r="K8" s="10"/>
      <c r="L8" s="9"/>
      <c r="M8" s="35"/>
      <c r="N8" s="36"/>
    </row>
    <row r="9" spans="1:14" ht="18" customHeight="1" x14ac:dyDescent="0.2">
      <c r="A9" s="2"/>
      <c r="B9" s="78"/>
      <c r="C9" s="7">
        <f>IF(DAY(MayDom1)=1,MayDom1+29,MayDom1+36)</f>
        <v>42520</v>
      </c>
      <c r="D9" s="7">
        <f>IF(DAY(MayDom1)=1,MayDom1+30,MayDom1+37)</f>
        <v>42521</v>
      </c>
      <c r="E9" s="7">
        <f>IF(DAY(MayDom1)=1,MayDom1+31,MayDom1+38)</f>
        <v>42522</v>
      </c>
      <c r="F9" s="7">
        <f>IF(DAY(MayDom1)=1,MayDom1+32,MayDom1+39)</f>
        <v>42523</v>
      </c>
      <c r="G9" s="7">
        <f>IF(DAY(MayDom1)=1,MayDom1+33,MayDom1+40)</f>
        <v>42524</v>
      </c>
      <c r="H9" s="7">
        <f>IF(DAY(MayDom1)=1,MayDom1+34,MayDom1+41)</f>
        <v>42525</v>
      </c>
      <c r="I9" s="7">
        <f>IF(DAY(MayDom1)=1,MayDom1+35,MayDom1+42)</f>
        <v>42526</v>
      </c>
      <c r="J9" s="6"/>
      <c r="K9" s="11"/>
      <c r="L9" s="12"/>
      <c r="M9" s="37"/>
      <c r="N9" s="38"/>
    </row>
    <row r="10" spans="1:14" ht="18" customHeight="1" x14ac:dyDescent="0.2">
      <c r="A10" s="2"/>
      <c r="B10" s="79"/>
      <c r="C10" s="13"/>
      <c r="D10" s="13"/>
      <c r="E10" s="13"/>
      <c r="F10" s="13"/>
      <c r="G10" s="13"/>
      <c r="H10" s="13"/>
      <c r="I10" s="13"/>
      <c r="J10" s="14"/>
      <c r="K10" s="41" t="s">
        <v>12</v>
      </c>
      <c r="L10" s="8">
        <v>10</v>
      </c>
      <c r="M10" s="85" t="s">
        <v>68</v>
      </c>
      <c r="N10" s="86"/>
    </row>
    <row r="11" spans="1:14" ht="18" customHeight="1" x14ac:dyDescent="0.2">
      <c r="A11" s="2"/>
      <c r="B11" s="80" t="s">
        <v>10</v>
      </c>
      <c r="C11" s="81"/>
      <c r="D11" s="81"/>
      <c r="E11" s="81"/>
      <c r="F11" s="81"/>
      <c r="G11" s="81"/>
      <c r="H11" s="81"/>
      <c r="I11" s="81"/>
      <c r="J11" s="82"/>
      <c r="K11" s="42"/>
      <c r="L11" s="9"/>
      <c r="M11" s="35"/>
      <c r="N11" s="36"/>
    </row>
    <row r="12" spans="1:14" ht="18" customHeight="1" x14ac:dyDescent="0.2">
      <c r="A12" s="2"/>
      <c r="B12" s="80"/>
      <c r="C12" s="81"/>
      <c r="D12" s="81"/>
      <c r="E12" s="81"/>
      <c r="F12" s="81"/>
      <c r="G12" s="81"/>
      <c r="H12" s="81"/>
      <c r="I12" s="81"/>
      <c r="J12" s="82"/>
      <c r="K12" s="42"/>
      <c r="L12" s="9"/>
      <c r="M12" s="35"/>
      <c r="N12" s="36"/>
    </row>
    <row r="13" spans="1:14" ht="18" customHeight="1" x14ac:dyDescent="0.2">
      <c r="B13" s="22" t="s">
        <v>11</v>
      </c>
      <c r="C13" s="43" t="s">
        <v>12</v>
      </c>
      <c r="D13" s="45"/>
      <c r="E13" s="43" t="s">
        <v>13</v>
      </c>
      <c r="F13" s="45"/>
      <c r="G13" s="43" t="s">
        <v>14</v>
      </c>
      <c r="H13" s="45"/>
      <c r="I13" s="43" t="s">
        <v>15</v>
      </c>
      <c r="J13" s="44"/>
      <c r="K13" s="10"/>
      <c r="L13" s="9"/>
      <c r="M13" s="35"/>
      <c r="N13" s="36"/>
    </row>
    <row r="14" spans="1:14" ht="18" customHeight="1" x14ac:dyDescent="0.2">
      <c r="B14" s="23"/>
      <c r="C14" s="59"/>
      <c r="D14" s="60"/>
      <c r="E14" s="59"/>
      <c r="F14" s="60"/>
      <c r="G14" s="59"/>
      <c r="H14" s="60"/>
      <c r="I14" s="59"/>
      <c r="J14" s="65"/>
      <c r="K14" s="10"/>
      <c r="L14" s="9"/>
      <c r="M14" s="35"/>
      <c r="N14" s="36"/>
    </row>
    <row r="15" spans="1:14" ht="18" customHeight="1" x14ac:dyDescent="0.2">
      <c r="B15" s="24"/>
      <c r="C15" s="57"/>
      <c r="D15" s="58"/>
      <c r="E15" s="57"/>
      <c r="F15" s="58"/>
      <c r="G15" s="57"/>
      <c r="H15" s="58"/>
      <c r="I15" s="66"/>
      <c r="J15" s="67"/>
      <c r="K15" s="16"/>
      <c r="L15" s="17"/>
      <c r="M15" s="37"/>
      <c r="N15" s="38"/>
    </row>
    <row r="16" spans="1:14" ht="18" customHeight="1" x14ac:dyDescent="0.2">
      <c r="B16" s="23"/>
      <c r="C16" s="59"/>
      <c r="D16" s="60"/>
      <c r="E16" s="59"/>
      <c r="F16" s="60"/>
      <c r="G16" s="59"/>
      <c r="H16" s="60"/>
      <c r="I16" s="90"/>
      <c r="J16" s="91"/>
      <c r="K16" s="33" t="s">
        <v>13</v>
      </c>
      <c r="L16" s="8"/>
      <c r="M16" s="85"/>
      <c r="N16" s="86"/>
    </row>
    <row r="17" spans="2:14" ht="18" customHeight="1" x14ac:dyDescent="0.2">
      <c r="B17" s="24"/>
      <c r="C17" s="57"/>
      <c r="D17" s="58"/>
      <c r="E17" s="57"/>
      <c r="F17" s="58"/>
      <c r="G17" s="57"/>
      <c r="H17" s="58"/>
      <c r="I17" s="66"/>
      <c r="J17" s="67"/>
      <c r="K17" s="34"/>
      <c r="L17" s="9"/>
      <c r="M17" s="35"/>
      <c r="N17" s="36"/>
    </row>
    <row r="18" spans="2:14" ht="18" customHeight="1" x14ac:dyDescent="0.2">
      <c r="B18" s="25"/>
      <c r="C18" s="63"/>
      <c r="D18" s="64"/>
      <c r="E18" s="63"/>
      <c r="F18" s="64"/>
      <c r="G18" s="63"/>
      <c r="H18" s="64"/>
      <c r="I18" s="63"/>
      <c r="J18" s="76"/>
      <c r="K18" s="34"/>
      <c r="L18" s="9"/>
      <c r="M18" s="35"/>
      <c r="N18" s="36"/>
    </row>
    <row r="19" spans="2:14" ht="18" customHeight="1" x14ac:dyDescent="0.2">
      <c r="B19" s="24"/>
      <c r="C19" s="57"/>
      <c r="D19" s="58"/>
      <c r="E19" s="57"/>
      <c r="F19" s="58"/>
      <c r="G19" s="57"/>
      <c r="H19" s="58"/>
      <c r="I19" s="66"/>
      <c r="J19" s="67"/>
      <c r="K19" s="10"/>
      <c r="L19" s="9"/>
      <c r="M19" s="35"/>
      <c r="N19" s="36"/>
    </row>
    <row r="20" spans="2:14" ht="18" customHeight="1" x14ac:dyDescent="0.2">
      <c r="B20" s="23"/>
      <c r="C20" s="59"/>
      <c r="D20" s="60"/>
      <c r="E20" s="59"/>
      <c r="F20" s="60"/>
      <c r="G20" s="59"/>
      <c r="H20" s="60"/>
      <c r="I20" s="59"/>
      <c r="J20" s="65"/>
      <c r="K20" s="10"/>
      <c r="L20" s="9"/>
      <c r="M20" s="35"/>
      <c r="N20" s="36"/>
    </row>
    <row r="21" spans="2:14" ht="18" customHeight="1" x14ac:dyDescent="0.2">
      <c r="B21" s="24"/>
      <c r="C21" s="57"/>
      <c r="D21" s="58"/>
      <c r="E21" s="57"/>
      <c r="F21" s="58"/>
      <c r="G21" s="57"/>
      <c r="H21" s="58"/>
      <c r="I21" s="104"/>
      <c r="J21" s="105"/>
      <c r="K21" s="16"/>
      <c r="L21" s="17"/>
      <c r="M21" s="37"/>
      <c r="N21" s="38"/>
    </row>
    <row r="22" spans="2:14" ht="18" customHeight="1" x14ac:dyDescent="0.2">
      <c r="B22" s="23"/>
      <c r="C22" s="59"/>
      <c r="D22" s="60"/>
      <c r="E22" s="59"/>
      <c r="F22" s="60"/>
      <c r="G22" s="59"/>
      <c r="H22" s="60"/>
      <c r="I22" s="59"/>
      <c r="J22" s="65"/>
      <c r="K22" s="33" t="s">
        <v>14</v>
      </c>
      <c r="L22" s="8"/>
      <c r="M22" s="85"/>
      <c r="N22" s="86"/>
    </row>
    <row r="23" spans="2:14" ht="18" customHeight="1" x14ac:dyDescent="0.2">
      <c r="B23" s="24"/>
      <c r="C23" s="57"/>
      <c r="D23" s="58"/>
      <c r="E23" s="57"/>
      <c r="F23" s="58"/>
      <c r="G23" s="57"/>
      <c r="H23" s="58"/>
      <c r="I23" s="66"/>
      <c r="J23" s="67"/>
      <c r="K23" s="34"/>
      <c r="L23" s="9"/>
      <c r="M23" s="35"/>
      <c r="N23" s="36"/>
    </row>
    <row r="24" spans="2:14" ht="18" customHeight="1" x14ac:dyDescent="0.2">
      <c r="B24" s="23"/>
      <c r="C24" s="59"/>
      <c r="D24" s="60"/>
      <c r="E24" s="59"/>
      <c r="F24" s="60"/>
      <c r="G24" s="59"/>
      <c r="H24" s="60"/>
      <c r="I24" s="59"/>
      <c r="J24" s="65"/>
      <c r="K24" s="34"/>
      <c r="L24" s="9"/>
      <c r="M24" s="35"/>
      <c r="N24" s="36"/>
    </row>
    <row r="25" spans="2:14" ht="18" customHeight="1" x14ac:dyDescent="0.2">
      <c r="B25" s="24"/>
      <c r="C25" s="57"/>
      <c r="D25" s="58"/>
      <c r="E25" s="57"/>
      <c r="F25" s="58"/>
      <c r="G25" s="57"/>
      <c r="H25" s="58"/>
      <c r="I25" s="66"/>
      <c r="J25" s="67"/>
      <c r="K25" s="34"/>
      <c r="L25" s="9">
        <v>19</v>
      </c>
      <c r="M25" s="35" t="s">
        <v>71</v>
      </c>
      <c r="N25" s="36"/>
    </row>
    <row r="26" spans="2:14" ht="18" customHeight="1" x14ac:dyDescent="0.2">
      <c r="B26" s="23"/>
      <c r="C26" s="59"/>
      <c r="D26" s="60"/>
      <c r="E26" s="59"/>
      <c r="F26" s="60"/>
      <c r="G26" s="59"/>
      <c r="H26" s="60"/>
      <c r="I26" s="59"/>
      <c r="J26" s="65"/>
      <c r="K26" s="10"/>
      <c r="L26" s="9"/>
      <c r="M26" s="35"/>
      <c r="N26" s="36"/>
    </row>
    <row r="27" spans="2:14" ht="18" customHeight="1" x14ac:dyDescent="0.2">
      <c r="B27" s="24"/>
      <c r="C27" s="57"/>
      <c r="D27" s="58"/>
      <c r="E27" s="57"/>
      <c r="F27" s="58"/>
      <c r="G27" s="57"/>
      <c r="H27" s="58"/>
      <c r="I27" s="66"/>
      <c r="J27" s="67"/>
      <c r="K27" s="16"/>
      <c r="L27" s="17"/>
      <c r="M27" s="37"/>
      <c r="N27" s="38"/>
    </row>
    <row r="28" spans="2:14" ht="18" customHeight="1" x14ac:dyDescent="0.2">
      <c r="B28" s="23"/>
      <c r="C28" s="59"/>
      <c r="D28" s="60"/>
      <c r="E28" s="59"/>
      <c r="F28" s="60"/>
      <c r="G28" s="59"/>
      <c r="H28" s="60"/>
      <c r="I28" s="59"/>
      <c r="J28" s="65"/>
      <c r="K28" s="41" t="s">
        <v>15</v>
      </c>
      <c r="L28" s="8"/>
      <c r="M28" s="85"/>
      <c r="N28" s="86"/>
    </row>
    <row r="29" spans="2:14" ht="18" customHeight="1" x14ac:dyDescent="0.2">
      <c r="B29" s="24"/>
      <c r="C29" s="57"/>
      <c r="D29" s="58"/>
      <c r="E29" s="57"/>
      <c r="F29" s="58"/>
      <c r="G29" s="57"/>
      <c r="H29" s="58"/>
      <c r="I29" s="57"/>
      <c r="J29" s="89"/>
      <c r="K29" s="42"/>
      <c r="L29" s="9"/>
      <c r="M29" s="35"/>
      <c r="N29" s="36"/>
    </row>
    <row r="30" spans="2:14" ht="18" customHeight="1" x14ac:dyDescent="0.2">
      <c r="B30" s="23"/>
      <c r="C30" s="59"/>
      <c r="D30" s="60"/>
      <c r="E30" s="59"/>
      <c r="F30" s="60"/>
      <c r="G30" s="59"/>
      <c r="H30" s="60"/>
      <c r="I30" s="87"/>
      <c r="J30" s="88"/>
      <c r="K30" s="42"/>
      <c r="L30" s="9"/>
      <c r="M30" s="35"/>
      <c r="N30" s="36"/>
    </row>
    <row r="31" spans="2:14" ht="18" customHeight="1" x14ac:dyDescent="0.2">
      <c r="B31" s="24"/>
      <c r="C31" s="57"/>
      <c r="D31" s="58"/>
      <c r="E31" s="57"/>
      <c r="F31" s="58"/>
      <c r="G31" s="57"/>
      <c r="H31" s="58"/>
      <c r="I31" s="57"/>
      <c r="J31" s="89"/>
      <c r="K31" s="18"/>
      <c r="L31" s="9">
        <v>20</v>
      </c>
      <c r="M31" s="35" t="s">
        <v>70</v>
      </c>
      <c r="N31" s="36"/>
    </row>
    <row r="32" spans="2:14" ht="18" customHeight="1" x14ac:dyDescent="0.2">
      <c r="B32" s="23"/>
      <c r="C32" s="59"/>
      <c r="D32" s="60"/>
      <c r="E32" s="59"/>
      <c r="F32" s="60"/>
      <c r="G32" s="59"/>
      <c r="H32" s="60"/>
      <c r="I32" s="90"/>
      <c r="J32" s="91"/>
      <c r="K32" s="18"/>
      <c r="L32" s="9"/>
      <c r="M32" s="35"/>
      <c r="N32" s="36"/>
    </row>
    <row r="33" spans="2:14" ht="18" customHeight="1" x14ac:dyDescent="0.2">
      <c r="B33" s="28"/>
      <c r="C33" s="100"/>
      <c r="D33" s="101"/>
      <c r="E33" s="100"/>
      <c r="F33" s="101"/>
      <c r="G33" s="100"/>
      <c r="H33" s="101"/>
      <c r="I33" s="102"/>
      <c r="J33" s="103"/>
      <c r="K33" s="20"/>
      <c r="L33" s="21"/>
      <c r="M33" s="83"/>
      <c r="N33" s="84"/>
    </row>
    <row r="34" spans="2:14" ht="16.5" customHeight="1" x14ac:dyDescent="0.2">
      <c r="K34" s="1" t="s">
        <v>28</v>
      </c>
    </row>
    <row r="35" spans="2:14" ht="16.5" customHeight="1" x14ac:dyDescent="0.2">
      <c r="K35" s="1" t="s">
        <v>34</v>
      </c>
    </row>
    <row r="36" spans="2:14" ht="16.5" customHeight="1" x14ac:dyDescent="0.2">
      <c r="K36" s="1" t="s">
        <v>75</v>
      </c>
    </row>
    <row r="37" spans="2:14" ht="16.5" customHeight="1" x14ac:dyDescent="0.2">
      <c r="K37" s="1" t="s">
        <v>76</v>
      </c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VLOOKUP(DAY(C4),DíasDeTareas,1,FALSE)=DAY(C4)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33"/>
  <sheetViews>
    <sheetView showGridLines="0" topLeftCell="A2" zoomScaleNormal="100" zoomScalePageLayoutView="84" workbookViewId="0">
      <selection activeCell="E20" sqref="E20:F21"/>
    </sheetView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style="1" customWidth="1"/>
    <col min="13" max="13" width="51.42578125" style="1" customWidth="1"/>
    <col min="14" max="14" width="10.7109375" style="1" customWidth="1"/>
    <col min="15" max="15" width="2.28515625" style="1" customWidth="1"/>
    <col min="16" max="22" width="8.85546875" style="1" customWidth="1"/>
    <col min="23" max="16384" width="8.7109375" style="1"/>
  </cols>
  <sheetData>
    <row r="1" spans="1:14" ht="11.25" customHeight="1" x14ac:dyDescent="0.2"/>
    <row r="2" spans="1:14" ht="18" customHeight="1" x14ac:dyDescent="0.2">
      <c r="A2" s="2"/>
      <c r="B2" s="77" t="s">
        <v>21</v>
      </c>
      <c r="C2" s="3"/>
      <c r="D2" s="3"/>
      <c r="E2" s="3"/>
      <c r="F2" s="3"/>
      <c r="G2" s="3"/>
      <c r="H2" s="3"/>
      <c r="I2" s="3"/>
      <c r="J2" s="4"/>
      <c r="K2" s="46" t="s">
        <v>2</v>
      </c>
      <c r="L2" s="47">
        <v>2013</v>
      </c>
      <c r="M2" s="47"/>
      <c r="N2" s="26"/>
    </row>
    <row r="3" spans="1:14" ht="21" customHeight="1" x14ac:dyDescent="0.2">
      <c r="A3" s="2"/>
      <c r="B3" s="78"/>
      <c r="C3" s="5" t="s">
        <v>4</v>
      </c>
      <c r="D3" s="5" t="s">
        <v>1</v>
      </c>
      <c r="E3" s="5" t="s">
        <v>5</v>
      </c>
      <c r="F3" s="5" t="s">
        <v>6</v>
      </c>
      <c r="G3" s="5" t="s">
        <v>7</v>
      </c>
      <c r="H3" s="5" t="s">
        <v>0</v>
      </c>
      <c r="I3" s="5" t="s">
        <v>8</v>
      </c>
      <c r="J3" s="6"/>
      <c r="K3" s="48"/>
      <c r="L3" s="49"/>
      <c r="M3" s="49"/>
      <c r="N3" s="27"/>
    </row>
    <row r="4" spans="1:14" ht="18" customHeight="1" x14ac:dyDescent="0.2">
      <c r="A4" s="2"/>
      <c r="B4" s="78"/>
      <c r="C4" s="7">
        <f>IF(DAY(JunDom1)=1,JunDom1-6,JunDom1+1)</f>
        <v>42520</v>
      </c>
      <c r="D4" s="7">
        <f>IF(DAY(JunDom1)=1,JunDom1-5,JunDom1+2)</f>
        <v>42521</v>
      </c>
      <c r="E4" s="7">
        <f>IF(DAY(JunDom1)=1,JunDom1-4,JunDom1+3)</f>
        <v>42522</v>
      </c>
      <c r="F4" s="7">
        <f>IF(DAY(JunDom1)=1,JunDom1-3,JunDom1+4)</f>
        <v>42523</v>
      </c>
      <c r="G4" s="7">
        <f>IF(DAY(JunDom1)=1,JunDom1-2,JunDom1+5)</f>
        <v>42524</v>
      </c>
      <c r="H4" s="7">
        <f>IF(DAY(JunDom1)=1,JunDom1-1,JunDom1+6)</f>
        <v>42525</v>
      </c>
      <c r="I4" s="7">
        <f>IF(DAY(JunDom1)=1,JunDom1,JunDom1+7)</f>
        <v>42526</v>
      </c>
      <c r="J4" s="6"/>
      <c r="K4" s="50" t="s">
        <v>11</v>
      </c>
      <c r="L4" s="8"/>
      <c r="M4" s="94"/>
      <c r="N4" s="95"/>
    </row>
    <row r="5" spans="1:14" ht="18" customHeight="1" x14ac:dyDescent="0.2">
      <c r="A5" s="2"/>
      <c r="B5" s="78"/>
      <c r="C5" s="7">
        <f>IF(DAY(JunDom1)=1,JunDom1+1,JunDom1+8)</f>
        <v>42527</v>
      </c>
      <c r="D5" s="7">
        <f>IF(DAY(JunDom1)=1,JunDom1+2,JunDom1+9)</f>
        <v>42528</v>
      </c>
      <c r="E5" s="7">
        <f>IF(DAY(JunDom1)=1,JunDom1+3,JunDom1+10)</f>
        <v>42529</v>
      </c>
      <c r="F5" s="7">
        <f>IF(DAY(JunDom1)=1,JunDom1+4,JunDom1+11)</f>
        <v>42530</v>
      </c>
      <c r="G5" s="7">
        <f>IF(DAY(JunDom1)=1,JunDom1+5,JunDom1+12)</f>
        <v>42531</v>
      </c>
      <c r="H5" s="7">
        <f>IF(DAY(JunDom1)=1,JunDom1+6,JunDom1+13)</f>
        <v>42532</v>
      </c>
      <c r="I5" s="7">
        <f>IF(DAY(JunDom1)=1,JunDom1+7,JunDom1+14)</f>
        <v>42533</v>
      </c>
      <c r="J5" s="6"/>
      <c r="K5" s="42"/>
      <c r="L5" s="9"/>
      <c r="M5" s="35"/>
      <c r="N5" s="36"/>
    </row>
    <row r="6" spans="1:14" ht="18" customHeight="1" x14ac:dyDescent="0.2">
      <c r="A6" s="2"/>
      <c r="B6" s="78"/>
      <c r="C6" s="7">
        <f>IF(DAY(JunDom1)=1,JunDom1+8,JunDom1+15)</f>
        <v>42534</v>
      </c>
      <c r="D6" s="7">
        <f>IF(DAY(JunDom1)=1,JunDom1+9,JunDom1+16)</f>
        <v>42535</v>
      </c>
      <c r="E6" s="7">
        <f>IF(DAY(JunDom1)=1,JunDom1+10,JunDom1+17)</f>
        <v>42536</v>
      </c>
      <c r="F6" s="7">
        <f>IF(DAY(JunDom1)=1,JunDom1+11,JunDom1+18)</f>
        <v>42537</v>
      </c>
      <c r="G6" s="7">
        <f>IF(DAY(JunDom1)=1,JunDom1+12,JunDom1+19)</f>
        <v>42538</v>
      </c>
      <c r="H6" s="7">
        <f>IF(DAY(JunDom1)=1,JunDom1+13,JunDom1+20)</f>
        <v>42539</v>
      </c>
      <c r="I6" s="7">
        <f>IF(DAY(JunDom1)=1,JunDom1+14,JunDom1+21)</f>
        <v>42540</v>
      </c>
      <c r="J6" s="6"/>
      <c r="K6" s="42"/>
      <c r="L6" s="9"/>
      <c r="M6" s="35"/>
      <c r="N6" s="36"/>
    </row>
    <row r="7" spans="1:14" ht="18" customHeight="1" x14ac:dyDescent="0.2">
      <c r="A7" s="2"/>
      <c r="B7" s="78"/>
      <c r="C7" s="7">
        <f>IF(DAY(JunDom1)=1,JunDom1+15,JunDom1+22)</f>
        <v>42541</v>
      </c>
      <c r="D7" s="7">
        <f>IF(DAY(JunDom1)=1,JunDom1+16,JunDom1+23)</f>
        <v>42542</v>
      </c>
      <c r="E7" s="7">
        <f>IF(DAY(JunDom1)=1,JunDom1+17,JunDom1+24)</f>
        <v>42543</v>
      </c>
      <c r="F7" s="7">
        <f>IF(DAY(JunDom1)=1,JunDom1+18,JunDom1+25)</f>
        <v>42544</v>
      </c>
      <c r="G7" s="7">
        <f>IF(DAY(JunDom1)=1,JunDom1+19,JunDom1+26)</f>
        <v>42545</v>
      </c>
      <c r="H7" s="7">
        <f>IF(DAY(JunDom1)=1,JunDom1+20,JunDom1+27)</f>
        <v>42546</v>
      </c>
      <c r="I7" s="7">
        <f>IF(DAY(JunDom1)=1,JunDom1+21,JunDom1+28)</f>
        <v>42547</v>
      </c>
      <c r="J7" s="6"/>
      <c r="K7" s="10"/>
      <c r="L7" s="9"/>
      <c r="M7" s="35"/>
      <c r="N7" s="36"/>
    </row>
    <row r="8" spans="1:14" ht="18.75" customHeight="1" x14ac:dyDescent="0.2">
      <c r="A8" s="2"/>
      <c r="B8" s="78"/>
      <c r="C8" s="7">
        <f>IF(DAY(JunDom1)=1,JunDom1+22,JunDom1+29)</f>
        <v>42548</v>
      </c>
      <c r="D8" s="7">
        <f>IF(DAY(JunDom1)=1,JunDom1+23,JunDom1+30)</f>
        <v>42549</v>
      </c>
      <c r="E8" s="7">
        <f>IF(DAY(JunDom1)=1,JunDom1+24,JunDom1+31)</f>
        <v>42550</v>
      </c>
      <c r="F8" s="7">
        <f>IF(DAY(JunDom1)=1,JunDom1+25,JunDom1+32)</f>
        <v>42551</v>
      </c>
      <c r="G8" s="7">
        <f>IF(DAY(JunDom1)=1,JunDom1+26,JunDom1+33)</f>
        <v>42552</v>
      </c>
      <c r="H8" s="7">
        <f>IF(DAY(JunDom1)=1,JunDom1+27,JunDom1+34)</f>
        <v>42553</v>
      </c>
      <c r="I8" s="7">
        <f>IF(DAY(JunDom1)=1,JunDom1+28,JunDom1+35)</f>
        <v>42554</v>
      </c>
      <c r="J8" s="6"/>
      <c r="K8" s="10"/>
      <c r="L8" s="9"/>
      <c r="M8" s="35"/>
      <c r="N8" s="36"/>
    </row>
    <row r="9" spans="1:14" ht="18" customHeight="1" x14ac:dyDescent="0.2">
      <c r="A9" s="2"/>
      <c r="B9" s="78"/>
      <c r="C9" s="7">
        <f>IF(DAY(JunDom1)=1,JunDom1+29,JunDom1+36)</f>
        <v>42555</v>
      </c>
      <c r="D9" s="7">
        <f>IF(DAY(JunDom1)=1,JunDom1+30,JunDom1+37)</f>
        <v>42556</v>
      </c>
      <c r="E9" s="7">
        <f>IF(DAY(JunDom1)=1,JunDom1+31,JunDom1+38)</f>
        <v>42557</v>
      </c>
      <c r="F9" s="7">
        <f>IF(DAY(JunDom1)=1,JunDom1+32,JunDom1+39)</f>
        <v>42558</v>
      </c>
      <c r="G9" s="7">
        <f>IF(DAY(JunDom1)=1,JunDom1+33,JunDom1+40)</f>
        <v>42559</v>
      </c>
      <c r="H9" s="7">
        <f>IF(DAY(JunDom1)=1,JunDom1+34,JunDom1+41)</f>
        <v>42560</v>
      </c>
      <c r="I9" s="7">
        <f>IF(DAY(JunDom1)=1,JunDom1+35,JunDom1+42)</f>
        <v>42561</v>
      </c>
      <c r="J9" s="6"/>
      <c r="K9" s="11"/>
      <c r="L9" s="12"/>
      <c r="M9" s="37"/>
      <c r="N9" s="38"/>
    </row>
    <row r="10" spans="1:14" ht="18" customHeight="1" x14ac:dyDescent="0.2">
      <c r="A10" s="2"/>
      <c r="B10" s="79"/>
      <c r="C10" s="13"/>
      <c r="D10" s="13"/>
      <c r="E10" s="13"/>
      <c r="F10" s="13"/>
      <c r="G10" s="13"/>
      <c r="H10" s="13"/>
      <c r="I10" s="13"/>
      <c r="J10" s="14"/>
      <c r="K10" s="41" t="s">
        <v>12</v>
      </c>
      <c r="L10" s="8"/>
      <c r="M10" s="85"/>
      <c r="N10" s="86"/>
    </row>
    <row r="11" spans="1:14" ht="18" customHeight="1" x14ac:dyDescent="0.2">
      <c r="A11" s="2"/>
      <c r="B11" s="80" t="s">
        <v>10</v>
      </c>
      <c r="C11" s="81"/>
      <c r="D11" s="81"/>
      <c r="E11" s="81"/>
      <c r="F11" s="81"/>
      <c r="G11" s="81"/>
      <c r="H11" s="81"/>
      <c r="I11" s="81"/>
      <c r="J11" s="82"/>
      <c r="K11" s="42"/>
      <c r="L11" s="9"/>
      <c r="M11" s="35"/>
      <c r="N11" s="36"/>
    </row>
    <row r="12" spans="1:14" ht="18" customHeight="1" x14ac:dyDescent="0.2">
      <c r="A12" s="2"/>
      <c r="B12" s="80"/>
      <c r="C12" s="81"/>
      <c r="D12" s="81"/>
      <c r="E12" s="81"/>
      <c r="F12" s="81"/>
      <c r="G12" s="81"/>
      <c r="H12" s="81"/>
      <c r="I12" s="81"/>
      <c r="J12" s="82"/>
      <c r="K12" s="42"/>
      <c r="L12" s="9"/>
      <c r="M12" s="35"/>
      <c r="N12" s="36"/>
    </row>
    <row r="13" spans="1:14" ht="18" customHeight="1" x14ac:dyDescent="0.2">
      <c r="B13" s="22" t="s">
        <v>11</v>
      </c>
      <c r="C13" s="43" t="s">
        <v>12</v>
      </c>
      <c r="D13" s="45"/>
      <c r="E13" s="43" t="s">
        <v>13</v>
      </c>
      <c r="F13" s="45"/>
      <c r="G13" s="43" t="s">
        <v>14</v>
      </c>
      <c r="H13" s="45"/>
      <c r="I13" s="43" t="s">
        <v>15</v>
      </c>
      <c r="J13" s="44"/>
      <c r="K13" s="10"/>
      <c r="L13" s="9"/>
      <c r="M13" s="35"/>
      <c r="N13" s="36"/>
    </row>
    <row r="14" spans="1:14" ht="18" customHeight="1" x14ac:dyDescent="0.2">
      <c r="B14" s="23"/>
      <c r="C14" s="59"/>
      <c r="D14" s="60"/>
      <c r="E14" s="59"/>
      <c r="F14" s="60"/>
      <c r="G14" s="59"/>
      <c r="H14" s="60"/>
      <c r="I14" s="59"/>
      <c r="J14" s="65"/>
      <c r="K14" s="10"/>
      <c r="L14" s="9"/>
      <c r="M14" s="35"/>
      <c r="N14" s="36"/>
    </row>
    <row r="15" spans="1:14" ht="18" customHeight="1" x14ac:dyDescent="0.2">
      <c r="B15" s="24"/>
      <c r="C15" s="57"/>
      <c r="D15" s="58"/>
      <c r="E15" s="57"/>
      <c r="F15" s="58"/>
      <c r="G15" s="57"/>
      <c r="H15" s="58"/>
      <c r="I15" s="66"/>
      <c r="J15" s="67"/>
      <c r="K15" s="16"/>
      <c r="L15" s="17"/>
      <c r="M15" s="37"/>
      <c r="N15" s="38"/>
    </row>
    <row r="16" spans="1:14" ht="18" customHeight="1" x14ac:dyDescent="0.2">
      <c r="B16" s="23"/>
      <c r="C16" s="59"/>
      <c r="D16" s="60"/>
      <c r="E16" s="59"/>
      <c r="F16" s="60"/>
      <c r="G16" s="59"/>
      <c r="H16" s="60"/>
      <c r="I16" s="90"/>
      <c r="J16" s="91"/>
      <c r="K16" s="33" t="s">
        <v>13</v>
      </c>
      <c r="L16" s="8"/>
      <c r="M16" s="85"/>
      <c r="N16" s="86"/>
    </row>
    <row r="17" spans="2:14" ht="18" customHeight="1" x14ac:dyDescent="0.2">
      <c r="B17" s="24"/>
      <c r="C17" s="57"/>
      <c r="D17" s="58"/>
      <c r="E17" s="57"/>
      <c r="F17" s="58"/>
      <c r="G17" s="57"/>
      <c r="H17" s="58"/>
      <c r="I17" s="66"/>
      <c r="J17" s="67"/>
      <c r="K17" s="34"/>
      <c r="L17" s="9"/>
      <c r="M17" s="35"/>
      <c r="N17" s="36"/>
    </row>
    <row r="18" spans="2:14" ht="18" customHeight="1" x14ac:dyDescent="0.2">
      <c r="B18" s="25"/>
      <c r="C18" s="63"/>
      <c r="D18" s="64"/>
      <c r="E18" s="63"/>
      <c r="F18" s="64"/>
      <c r="G18" s="63"/>
      <c r="H18" s="64"/>
      <c r="I18" s="63"/>
      <c r="J18" s="76"/>
      <c r="K18" s="34"/>
      <c r="L18" s="9"/>
      <c r="M18" s="35"/>
      <c r="N18" s="36"/>
    </row>
    <row r="19" spans="2:14" ht="18" customHeight="1" x14ac:dyDescent="0.2">
      <c r="B19" s="24"/>
      <c r="C19" s="57"/>
      <c r="D19" s="58"/>
      <c r="E19" s="57"/>
      <c r="F19" s="58"/>
      <c r="G19" s="57"/>
      <c r="H19" s="58"/>
      <c r="I19" s="66"/>
      <c r="J19" s="67"/>
      <c r="K19" s="10"/>
      <c r="L19" s="9"/>
      <c r="M19" s="35"/>
      <c r="N19" s="36"/>
    </row>
    <row r="20" spans="2:14" ht="18" customHeight="1" x14ac:dyDescent="0.2">
      <c r="B20" s="23"/>
      <c r="C20" s="59"/>
      <c r="D20" s="60"/>
      <c r="E20" s="59"/>
      <c r="F20" s="60"/>
      <c r="G20" s="59"/>
      <c r="H20" s="60"/>
      <c r="I20" s="59"/>
      <c r="J20" s="65"/>
      <c r="K20" s="10"/>
      <c r="L20" s="9"/>
      <c r="M20" s="35"/>
      <c r="N20" s="36"/>
    </row>
    <row r="21" spans="2:14" ht="18" customHeight="1" x14ac:dyDescent="0.2">
      <c r="B21" s="24"/>
      <c r="C21" s="57"/>
      <c r="D21" s="58"/>
      <c r="E21" s="57"/>
      <c r="F21" s="58"/>
      <c r="G21" s="57"/>
      <c r="H21" s="58"/>
      <c r="I21" s="104"/>
      <c r="J21" s="105"/>
      <c r="K21" s="16"/>
      <c r="L21" s="17"/>
      <c r="M21" s="37"/>
      <c r="N21" s="38"/>
    </row>
    <row r="22" spans="2:14" ht="18" customHeight="1" x14ac:dyDescent="0.2">
      <c r="B22" s="23"/>
      <c r="C22" s="59"/>
      <c r="D22" s="60"/>
      <c r="E22" s="59"/>
      <c r="F22" s="60"/>
      <c r="G22" s="59"/>
      <c r="H22" s="60"/>
      <c r="I22" s="59"/>
      <c r="J22" s="65"/>
      <c r="K22" s="33" t="s">
        <v>14</v>
      </c>
      <c r="L22" s="8"/>
      <c r="M22" s="85"/>
      <c r="N22" s="86"/>
    </row>
    <row r="23" spans="2:14" ht="18" customHeight="1" x14ac:dyDescent="0.2">
      <c r="B23" s="24"/>
      <c r="C23" s="57"/>
      <c r="D23" s="58"/>
      <c r="E23" s="57"/>
      <c r="F23" s="58"/>
      <c r="G23" s="57"/>
      <c r="H23" s="58"/>
      <c r="I23" s="66"/>
      <c r="J23" s="67"/>
      <c r="K23" s="34"/>
      <c r="L23" s="9"/>
      <c r="M23" s="35"/>
      <c r="N23" s="36"/>
    </row>
    <row r="24" spans="2:14" ht="18" customHeight="1" x14ac:dyDescent="0.2">
      <c r="B24" s="23"/>
      <c r="C24" s="59"/>
      <c r="D24" s="60"/>
      <c r="E24" s="59"/>
      <c r="F24" s="60"/>
      <c r="G24" s="59"/>
      <c r="H24" s="60"/>
      <c r="I24" s="59"/>
      <c r="J24" s="65"/>
      <c r="K24" s="34"/>
      <c r="L24" s="9"/>
      <c r="M24" s="35"/>
      <c r="N24" s="36"/>
    </row>
    <row r="25" spans="2:14" ht="18" customHeight="1" x14ac:dyDescent="0.2">
      <c r="B25" s="24"/>
      <c r="C25" s="57"/>
      <c r="D25" s="58"/>
      <c r="E25" s="57"/>
      <c r="F25" s="58"/>
      <c r="G25" s="57"/>
      <c r="H25" s="58"/>
      <c r="I25" s="66"/>
      <c r="J25" s="67"/>
      <c r="K25" s="34"/>
      <c r="L25" s="9"/>
      <c r="M25" s="35"/>
      <c r="N25" s="36"/>
    </row>
    <row r="26" spans="2:14" ht="18" customHeight="1" x14ac:dyDescent="0.2">
      <c r="B26" s="23"/>
      <c r="C26" s="59"/>
      <c r="D26" s="60"/>
      <c r="E26" s="59"/>
      <c r="F26" s="60"/>
      <c r="G26" s="59"/>
      <c r="H26" s="60"/>
      <c r="I26" s="59"/>
      <c r="J26" s="65"/>
      <c r="K26" s="10"/>
      <c r="L26" s="9"/>
      <c r="M26" s="35"/>
      <c r="N26" s="36"/>
    </row>
    <row r="27" spans="2:14" ht="18" customHeight="1" x14ac:dyDescent="0.2">
      <c r="B27" s="24"/>
      <c r="C27" s="57"/>
      <c r="D27" s="58"/>
      <c r="E27" s="57"/>
      <c r="F27" s="58"/>
      <c r="G27" s="57"/>
      <c r="H27" s="58"/>
      <c r="I27" s="66"/>
      <c r="J27" s="67"/>
      <c r="K27" s="16"/>
      <c r="L27" s="17"/>
      <c r="M27" s="37"/>
      <c r="N27" s="38"/>
    </row>
    <row r="28" spans="2:14" ht="18" customHeight="1" x14ac:dyDescent="0.2">
      <c r="B28" s="23"/>
      <c r="C28" s="59"/>
      <c r="D28" s="60"/>
      <c r="E28" s="59"/>
      <c r="F28" s="60"/>
      <c r="G28" s="59"/>
      <c r="H28" s="60"/>
      <c r="I28" s="59"/>
      <c r="J28" s="65"/>
      <c r="K28" s="41" t="s">
        <v>15</v>
      </c>
      <c r="L28" s="8"/>
      <c r="M28" s="85"/>
      <c r="N28" s="86"/>
    </row>
    <row r="29" spans="2:14" ht="18" customHeight="1" x14ac:dyDescent="0.2">
      <c r="B29" s="24"/>
      <c r="C29" s="57"/>
      <c r="D29" s="58"/>
      <c r="E29" s="57"/>
      <c r="F29" s="58"/>
      <c r="G29" s="57"/>
      <c r="H29" s="58"/>
      <c r="I29" s="57"/>
      <c r="J29" s="89"/>
      <c r="K29" s="42"/>
      <c r="L29" s="9"/>
      <c r="M29" s="35"/>
      <c r="N29" s="36"/>
    </row>
    <row r="30" spans="2:14" ht="18" customHeight="1" x14ac:dyDescent="0.2">
      <c r="B30" s="23"/>
      <c r="C30" s="59"/>
      <c r="D30" s="60"/>
      <c r="E30" s="59"/>
      <c r="F30" s="60"/>
      <c r="G30" s="59"/>
      <c r="H30" s="60"/>
      <c r="I30" s="87"/>
      <c r="J30" s="88"/>
      <c r="K30" s="42"/>
      <c r="L30" s="9"/>
      <c r="M30" s="35"/>
      <c r="N30" s="36"/>
    </row>
    <row r="31" spans="2:14" ht="18" customHeight="1" x14ac:dyDescent="0.2">
      <c r="B31" s="24"/>
      <c r="C31" s="57"/>
      <c r="D31" s="58"/>
      <c r="E31" s="57"/>
      <c r="F31" s="58"/>
      <c r="G31" s="57"/>
      <c r="H31" s="58"/>
      <c r="I31" s="57"/>
      <c r="J31" s="89"/>
      <c r="K31" s="18"/>
      <c r="L31" s="9"/>
      <c r="M31" s="35"/>
      <c r="N31" s="36"/>
    </row>
    <row r="32" spans="2:14" ht="18" customHeight="1" x14ac:dyDescent="0.2">
      <c r="B32" s="23"/>
      <c r="C32" s="59"/>
      <c r="D32" s="60"/>
      <c r="E32" s="59"/>
      <c r="F32" s="60"/>
      <c r="G32" s="59"/>
      <c r="H32" s="60"/>
      <c r="I32" s="90"/>
      <c r="J32" s="91"/>
      <c r="K32" s="18"/>
      <c r="L32" s="9"/>
      <c r="M32" s="35"/>
      <c r="N32" s="36"/>
    </row>
    <row r="33" spans="2:14" ht="18" customHeight="1" x14ac:dyDescent="0.2">
      <c r="B33" s="28"/>
      <c r="C33" s="100"/>
      <c r="D33" s="101"/>
      <c r="E33" s="100"/>
      <c r="F33" s="101"/>
      <c r="G33" s="100"/>
      <c r="H33" s="101"/>
      <c r="I33" s="102"/>
      <c r="J33" s="103"/>
      <c r="K33" s="20"/>
      <c r="L33" s="21"/>
      <c r="M33" s="83"/>
      <c r="N33" s="84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VLOOKUP(DAY(C4),DíasDeTareas,1,FALSE)=DAY(C4)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33"/>
  <sheetViews>
    <sheetView showGridLines="0" zoomScaleNormal="100" zoomScalePageLayoutView="84" workbookViewId="0">
      <selection sqref="A1:XFD1048576"/>
    </sheetView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style="1" customWidth="1"/>
    <col min="13" max="13" width="51.42578125" style="1" customWidth="1"/>
    <col min="14" max="14" width="10.7109375" style="1" customWidth="1"/>
    <col min="15" max="15" width="2.28515625" style="1" customWidth="1"/>
    <col min="16" max="22" width="8.85546875" style="1" customWidth="1"/>
    <col min="23" max="16384" width="8.7109375" style="1"/>
  </cols>
  <sheetData>
    <row r="1" spans="1:14" ht="11.25" customHeight="1" x14ac:dyDescent="0.2"/>
    <row r="2" spans="1:14" ht="18" customHeight="1" x14ac:dyDescent="0.2">
      <c r="A2" s="2"/>
      <c r="B2" s="77" t="s">
        <v>20</v>
      </c>
      <c r="C2" s="3"/>
      <c r="D2" s="3"/>
      <c r="E2" s="3"/>
      <c r="F2" s="3"/>
      <c r="G2" s="3"/>
      <c r="H2" s="3"/>
      <c r="I2" s="3"/>
      <c r="J2" s="4"/>
      <c r="K2" s="46" t="s">
        <v>2</v>
      </c>
      <c r="L2" s="47">
        <v>2013</v>
      </c>
      <c r="M2" s="47"/>
      <c r="N2" s="26"/>
    </row>
    <row r="3" spans="1:14" ht="21" customHeight="1" x14ac:dyDescent="0.2">
      <c r="A3" s="2"/>
      <c r="B3" s="78"/>
      <c r="C3" s="5" t="s">
        <v>4</v>
      </c>
      <c r="D3" s="5" t="s">
        <v>1</v>
      </c>
      <c r="E3" s="5" t="s">
        <v>5</v>
      </c>
      <c r="F3" s="5" t="s">
        <v>6</v>
      </c>
      <c r="G3" s="5" t="s">
        <v>7</v>
      </c>
      <c r="H3" s="5" t="s">
        <v>0</v>
      </c>
      <c r="I3" s="5" t="s">
        <v>8</v>
      </c>
      <c r="J3" s="6"/>
      <c r="K3" s="48"/>
      <c r="L3" s="49"/>
      <c r="M3" s="49"/>
      <c r="N3" s="27"/>
    </row>
    <row r="4" spans="1:14" ht="18" customHeight="1" x14ac:dyDescent="0.2">
      <c r="A4" s="2"/>
      <c r="B4" s="78"/>
      <c r="C4" s="7">
        <f>IF(DAY(JulDom1)=1,JulDom1-6,JulDom1+1)</f>
        <v>42548</v>
      </c>
      <c r="D4" s="7">
        <f>IF(DAY(JulDom1)=1,JulDom1-5,JulDom1+2)</f>
        <v>42549</v>
      </c>
      <c r="E4" s="7">
        <f>IF(DAY(JulDom1)=1,JulDom1-4,JulDom1+3)</f>
        <v>42550</v>
      </c>
      <c r="F4" s="7">
        <f>IF(DAY(JulDom1)=1,JulDom1-3,JulDom1+4)</f>
        <v>42551</v>
      </c>
      <c r="G4" s="7">
        <f>IF(DAY(JulDom1)=1,JulDom1-2,JulDom1+5)</f>
        <v>42552</v>
      </c>
      <c r="H4" s="7">
        <f>IF(DAY(JulDom1)=1,JulDom1-1,JulDom1+6)</f>
        <v>42553</v>
      </c>
      <c r="I4" s="7">
        <f>IF(DAY(JulDom1)=1,JulDom1,JulDom1+7)</f>
        <v>42554</v>
      </c>
      <c r="J4" s="6"/>
      <c r="K4" s="50" t="s">
        <v>11</v>
      </c>
      <c r="L4" s="8"/>
      <c r="M4" s="94"/>
      <c r="N4" s="95"/>
    </row>
    <row r="5" spans="1:14" ht="18" customHeight="1" x14ac:dyDescent="0.2">
      <c r="A5" s="2"/>
      <c r="B5" s="78"/>
      <c r="C5" s="7">
        <f>IF(DAY(JulDom1)=1,JulDom1+1,JulDom1+8)</f>
        <v>42555</v>
      </c>
      <c r="D5" s="7">
        <f>IF(DAY(JulDom1)=1,JulDom1+2,JulDom1+9)</f>
        <v>42556</v>
      </c>
      <c r="E5" s="7">
        <f>IF(DAY(JulDom1)=1,JulDom1+3,JulDom1+10)</f>
        <v>42557</v>
      </c>
      <c r="F5" s="7">
        <f>IF(DAY(JulDom1)=1,JulDom1+4,JulDom1+11)</f>
        <v>42558</v>
      </c>
      <c r="G5" s="7">
        <f>IF(DAY(JulDom1)=1,JulDom1+5,JulDom1+12)</f>
        <v>42559</v>
      </c>
      <c r="H5" s="7">
        <f>IF(DAY(JulDom1)=1,JulDom1+6,JulDom1+13)</f>
        <v>42560</v>
      </c>
      <c r="I5" s="7">
        <f>IF(DAY(JulDom1)=1,JulDom1+7,JulDom1+14)</f>
        <v>42561</v>
      </c>
      <c r="J5" s="6"/>
      <c r="K5" s="42"/>
      <c r="L5" s="9"/>
      <c r="M5" s="35"/>
      <c r="N5" s="36"/>
    </row>
    <row r="6" spans="1:14" ht="18" customHeight="1" x14ac:dyDescent="0.2">
      <c r="A6" s="2"/>
      <c r="B6" s="78"/>
      <c r="C6" s="7">
        <f>IF(DAY(JulDom1)=1,JulDom1+8,JulDom1+15)</f>
        <v>42562</v>
      </c>
      <c r="D6" s="7">
        <f>IF(DAY(JulDom1)=1,JulDom1+9,JulDom1+16)</f>
        <v>42563</v>
      </c>
      <c r="E6" s="7">
        <f>IF(DAY(JulDom1)=1,JulDom1+10,JulDom1+17)</f>
        <v>42564</v>
      </c>
      <c r="F6" s="7">
        <f>IF(DAY(JulDom1)=1,JulDom1+11,JulDom1+18)</f>
        <v>42565</v>
      </c>
      <c r="G6" s="7">
        <f>IF(DAY(JulDom1)=1,JulDom1+12,JulDom1+19)</f>
        <v>42566</v>
      </c>
      <c r="H6" s="7">
        <f>IF(DAY(JulDom1)=1,JulDom1+13,JulDom1+20)</f>
        <v>42567</v>
      </c>
      <c r="I6" s="7">
        <f>IF(DAY(JulDom1)=1,JulDom1+14,JulDom1+21)</f>
        <v>42568</v>
      </c>
      <c r="J6" s="6"/>
      <c r="K6" s="42"/>
      <c r="L6" s="9"/>
      <c r="M6" s="35"/>
      <c r="N6" s="36"/>
    </row>
    <row r="7" spans="1:14" ht="18" customHeight="1" x14ac:dyDescent="0.2">
      <c r="A7" s="2"/>
      <c r="B7" s="78"/>
      <c r="C7" s="7">
        <f>IF(DAY(JulDom1)=1,JulDom1+15,JulDom1+22)</f>
        <v>42569</v>
      </c>
      <c r="D7" s="7">
        <f>IF(DAY(JulDom1)=1,JulDom1+16,JulDom1+23)</f>
        <v>42570</v>
      </c>
      <c r="E7" s="7">
        <f>IF(DAY(JulDom1)=1,JulDom1+17,JulDom1+24)</f>
        <v>42571</v>
      </c>
      <c r="F7" s="7">
        <f>IF(DAY(JulDom1)=1,JulDom1+18,JulDom1+25)</f>
        <v>42572</v>
      </c>
      <c r="G7" s="7">
        <f>IF(DAY(JulDom1)=1,JulDom1+19,JulDom1+26)</f>
        <v>42573</v>
      </c>
      <c r="H7" s="7">
        <f>IF(DAY(JulDom1)=1,JulDom1+20,JulDom1+27)</f>
        <v>42574</v>
      </c>
      <c r="I7" s="7">
        <f>IF(DAY(JulDom1)=1,JulDom1+21,JulDom1+28)</f>
        <v>42575</v>
      </c>
      <c r="J7" s="6"/>
      <c r="K7" s="10"/>
      <c r="L7" s="9"/>
      <c r="M7" s="35"/>
      <c r="N7" s="36"/>
    </row>
    <row r="8" spans="1:14" ht="18.75" customHeight="1" x14ac:dyDescent="0.2">
      <c r="A8" s="2"/>
      <c r="B8" s="78"/>
      <c r="C8" s="7">
        <f>IF(DAY(JulDom1)=1,JulDom1+22,JulDom1+29)</f>
        <v>42576</v>
      </c>
      <c r="D8" s="7">
        <f>IF(DAY(JulDom1)=1,JulDom1+23,JulDom1+30)</f>
        <v>42577</v>
      </c>
      <c r="E8" s="7">
        <f>IF(DAY(JulDom1)=1,JulDom1+24,JulDom1+31)</f>
        <v>42578</v>
      </c>
      <c r="F8" s="7">
        <f>IF(DAY(JulDom1)=1,JulDom1+25,JulDom1+32)</f>
        <v>42579</v>
      </c>
      <c r="G8" s="7">
        <f>IF(DAY(JulDom1)=1,JulDom1+26,JulDom1+33)</f>
        <v>42580</v>
      </c>
      <c r="H8" s="7">
        <f>IF(DAY(JulDom1)=1,JulDom1+27,JulDom1+34)</f>
        <v>42581</v>
      </c>
      <c r="I8" s="7">
        <f>IF(DAY(JulDom1)=1,JulDom1+28,JulDom1+35)</f>
        <v>42582</v>
      </c>
      <c r="J8" s="6"/>
      <c r="K8" s="10"/>
      <c r="L8" s="9"/>
      <c r="M8" s="35"/>
      <c r="N8" s="36"/>
    </row>
    <row r="9" spans="1:14" ht="18" customHeight="1" x14ac:dyDescent="0.2">
      <c r="A9" s="2"/>
      <c r="B9" s="78"/>
      <c r="C9" s="7">
        <f>IF(DAY(JulDom1)=1,JulDom1+29,JulDom1+36)</f>
        <v>42583</v>
      </c>
      <c r="D9" s="7">
        <f>IF(DAY(JulDom1)=1,JulDom1+30,JulDom1+37)</f>
        <v>42584</v>
      </c>
      <c r="E9" s="7">
        <f>IF(DAY(JulDom1)=1,JulDom1+31,JulDom1+38)</f>
        <v>42585</v>
      </c>
      <c r="F9" s="7">
        <f>IF(DAY(JulDom1)=1,JulDom1+32,JulDom1+39)</f>
        <v>42586</v>
      </c>
      <c r="G9" s="7">
        <f>IF(DAY(JulDom1)=1,JulDom1+33,JulDom1+40)</f>
        <v>42587</v>
      </c>
      <c r="H9" s="7">
        <f>IF(DAY(JulDom1)=1,JulDom1+34,JulDom1+41)</f>
        <v>42588</v>
      </c>
      <c r="I9" s="7">
        <f>IF(DAY(JulDom1)=1,JulDom1+35,JulDom1+42)</f>
        <v>42589</v>
      </c>
      <c r="J9" s="6"/>
      <c r="K9" s="11"/>
      <c r="L9" s="12"/>
      <c r="M9" s="37"/>
      <c r="N9" s="38"/>
    </row>
    <row r="10" spans="1:14" ht="18" customHeight="1" x14ac:dyDescent="0.2">
      <c r="A10" s="2"/>
      <c r="B10" s="79"/>
      <c r="C10" s="13"/>
      <c r="D10" s="13"/>
      <c r="E10" s="13"/>
      <c r="F10" s="13"/>
      <c r="G10" s="13"/>
      <c r="H10" s="13"/>
      <c r="I10" s="13"/>
      <c r="J10" s="14"/>
      <c r="K10" s="41" t="s">
        <v>12</v>
      </c>
      <c r="L10" s="8"/>
      <c r="M10" s="85"/>
      <c r="N10" s="86"/>
    </row>
    <row r="11" spans="1:14" ht="18" customHeight="1" x14ac:dyDescent="0.2">
      <c r="A11" s="2"/>
      <c r="B11" s="80" t="s">
        <v>10</v>
      </c>
      <c r="C11" s="81"/>
      <c r="D11" s="81"/>
      <c r="E11" s="81"/>
      <c r="F11" s="81"/>
      <c r="G11" s="81"/>
      <c r="H11" s="81"/>
      <c r="I11" s="81"/>
      <c r="J11" s="82"/>
      <c r="K11" s="42"/>
      <c r="L11" s="9"/>
      <c r="M11" s="35"/>
      <c r="N11" s="36"/>
    </row>
    <row r="12" spans="1:14" ht="18" customHeight="1" x14ac:dyDescent="0.2">
      <c r="A12" s="2"/>
      <c r="B12" s="80"/>
      <c r="C12" s="81"/>
      <c r="D12" s="81"/>
      <c r="E12" s="81"/>
      <c r="F12" s="81"/>
      <c r="G12" s="81"/>
      <c r="H12" s="81"/>
      <c r="I12" s="81"/>
      <c r="J12" s="82"/>
      <c r="K12" s="42"/>
      <c r="L12" s="9"/>
      <c r="M12" s="35"/>
      <c r="N12" s="36"/>
    </row>
    <row r="13" spans="1:14" ht="18" customHeight="1" x14ac:dyDescent="0.2">
      <c r="B13" s="22" t="s">
        <v>11</v>
      </c>
      <c r="C13" s="43" t="s">
        <v>12</v>
      </c>
      <c r="D13" s="45"/>
      <c r="E13" s="43" t="s">
        <v>13</v>
      </c>
      <c r="F13" s="45"/>
      <c r="G13" s="43" t="s">
        <v>14</v>
      </c>
      <c r="H13" s="45"/>
      <c r="I13" s="43" t="s">
        <v>15</v>
      </c>
      <c r="J13" s="44"/>
      <c r="K13" s="10"/>
      <c r="L13" s="9"/>
      <c r="M13" s="35"/>
      <c r="N13" s="36"/>
    </row>
    <row r="14" spans="1:14" ht="18" customHeight="1" x14ac:dyDescent="0.2">
      <c r="B14" s="23"/>
      <c r="C14" s="59"/>
      <c r="D14" s="60"/>
      <c r="E14" s="59"/>
      <c r="F14" s="60"/>
      <c r="G14" s="59"/>
      <c r="H14" s="60"/>
      <c r="I14" s="59"/>
      <c r="J14" s="65"/>
      <c r="K14" s="10"/>
      <c r="L14" s="9"/>
      <c r="M14" s="35"/>
      <c r="N14" s="36"/>
    </row>
    <row r="15" spans="1:14" ht="18" customHeight="1" x14ac:dyDescent="0.2">
      <c r="B15" s="24"/>
      <c r="C15" s="57"/>
      <c r="D15" s="58"/>
      <c r="E15" s="57"/>
      <c r="F15" s="58"/>
      <c r="G15" s="57"/>
      <c r="H15" s="58"/>
      <c r="I15" s="66"/>
      <c r="J15" s="67"/>
      <c r="K15" s="16"/>
      <c r="L15" s="17"/>
      <c r="M15" s="37"/>
      <c r="N15" s="38"/>
    </row>
    <row r="16" spans="1:14" ht="18" customHeight="1" x14ac:dyDescent="0.2">
      <c r="B16" s="23"/>
      <c r="C16" s="59"/>
      <c r="D16" s="60"/>
      <c r="E16" s="59"/>
      <c r="F16" s="60"/>
      <c r="G16" s="59"/>
      <c r="H16" s="60"/>
      <c r="I16" s="90"/>
      <c r="J16" s="91"/>
      <c r="K16" s="33" t="s">
        <v>13</v>
      </c>
      <c r="L16" s="8"/>
      <c r="M16" s="85"/>
      <c r="N16" s="86"/>
    </row>
    <row r="17" spans="2:14" ht="18" customHeight="1" x14ac:dyDescent="0.2">
      <c r="B17" s="24"/>
      <c r="C17" s="57"/>
      <c r="D17" s="58"/>
      <c r="E17" s="57"/>
      <c r="F17" s="58"/>
      <c r="G17" s="57"/>
      <c r="H17" s="58"/>
      <c r="I17" s="66"/>
      <c r="J17" s="67"/>
      <c r="K17" s="34"/>
      <c r="L17" s="9"/>
      <c r="M17" s="35"/>
      <c r="N17" s="36"/>
    </row>
    <row r="18" spans="2:14" ht="18" customHeight="1" x14ac:dyDescent="0.2">
      <c r="B18" s="25"/>
      <c r="C18" s="63"/>
      <c r="D18" s="64"/>
      <c r="E18" s="63"/>
      <c r="F18" s="64"/>
      <c r="G18" s="63"/>
      <c r="H18" s="64"/>
      <c r="I18" s="63"/>
      <c r="J18" s="76"/>
      <c r="K18" s="34"/>
      <c r="L18" s="9"/>
      <c r="M18" s="35"/>
      <c r="N18" s="36"/>
    </row>
    <row r="19" spans="2:14" ht="18" customHeight="1" x14ac:dyDescent="0.2">
      <c r="B19" s="24"/>
      <c r="C19" s="57"/>
      <c r="D19" s="58"/>
      <c r="E19" s="57"/>
      <c r="F19" s="58"/>
      <c r="G19" s="57"/>
      <c r="H19" s="58"/>
      <c r="I19" s="66"/>
      <c r="J19" s="67"/>
      <c r="K19" s="10"/>
      <c r="L19" s="9"/>
      <c r="M19" s="35"/>
      <c r="N19" s="36"/>
    </row>
    <row r="20" spans="2:14" ht="18" customHeight="1" x14ac:dyDescent="0.2">
      <c r="B20" s="23"/>
      <c r="C20" s="59"/>
      <c r="D20" s="60"/>
      <c r="E20" s="59"/>
      <c r="F20" s="60"/>
      <c r="G20" s="59"/>
      <c r="H20" s="60"/>
      <c r="I20" s="59"/>
      <c r="J20" s="65"/>
      <c r="K20" s="10"/>
      <c r="L20" s="9"/>
      <c r="M20" s="35"/>
      <c r="N20" s="36"/>
    </row>
    <row r="21" spans="2:14" ht="18" customHeight="1" x14ac:dyDescent="0.2">
      <c r="B21" s="24"/>
      <c r="C21" s="57"/>
      <c r="D21" s="58"/>
      <c r="E21" s="57"/>
      <c r="F21" s="58"/>
      <c r="G21" s="57"/>
      <c r="H21" s="58"/>
      <c r="I21" s="104"/>
      <c r="J21" s="105"/>
      <c r="K21" s="16"/>
      <c r="L21" s="17"/>
      <c r="M21" s="37"/>
      <c r="N21" s="38"/>
    </row>
    <row r="22" spans="2:14" ht="18" customHeight="1" x14ac:dyDescent="0.2">
      <c r="B22" s="23"/>
      <c r="C22" s="59"/>
      <c r="D22" s="60"/>
      <c r="E22" s="59"/>
      <c r="F22" s="60"/>
      <c r="G22" s="59"/>
      <c r="H22" s="60"/>
      <c r="I22" s="59"/>
      <c r="J22" s="65"/>
      <c r="K22" s="33" t="s">
        <v>14</v>
      </c>
      <c r="L22" s="8"/>
      <c r="M22" s="85"/>
      <c r="N22" s="86"/>
    </row>
    <row r="23" spans="2:14" ht="18" customHeight="1" x14ac:dyDescent="0.2">
      <c r="B23" s="24"/>
      <c r="C23" s="57"/>
      <c r="D23" s="58"/>
      <c r="E23" s="57"/>
      <c r="F23" s="58"/>
      <c r="G23" s="57"/>
      <c r="H23" s="58"/>
      <c r="I23" s="66"/>
      <c r="J23" s="67"/>
      <c r="K23" s="34"/>
      <c r="L23" s="9"/>
      <c r="M23" s="35"/>
      <c r="N23" s="36"/>
    </row>
    <row r="24" spans="2:14" ht="18" customHeight="1" x14ac:dyDescent="0.2">
      <c r="B24" s="23"/>
      <c r="C24" s="59"/>
      <c r="D24" s="60"/>
      <c r="E24" s="59"/>
      <c r="F24" s="60"/>
      <c r="G24" s="59"/>
      <c r="H24" s="60"/>
      <c r="I24" s="59"/>
      <c r="J24" s="65"/>
      <c r="K24" s="34"/>
      <c r="L24" s="9"/>
      <c r="M24" s="35"/>
      <c r="N24" s="36"/>
    </row>
    <row r="25" spans="2:14" ht="18" customHeight="1" x14ac:dyDescent="0.2">
      <c r="B25" s="24"/>
      <c r="C25" s="57"/>
      <c r="D25" s="58"/>
      <c r="E25" s="57"/>
      <c r="F25" s="58"/>
      <c r="G25" s="57"/>
      <c r="H25" s="58"/>
      <c r="I25" s="66"/>
      <c r="J25" s="67"/>
      <c r="K25" s="34"/>
      <c r="L25" s="9"/>
      <c r="M25" s="35"/>
      <c r="N25" s="36"/>
    </row>
    <row r="26" spans="2:14" ht="18" customHeight="1" x14ac:dyDescent="0.2">
      <c r="B26" s="23"/>
      <c r="C26" s="59"/>
      <c r="D26" s="60"/>
      <c r="E26" s="59"/>
      <c r="F26" s="60"/>
      <c r="G26" s="59"/>
      <c r="H26" s="60"/>
      <c r="I26" s="59"/>
      <c r="J26" s="65"/>
      <c r="K26" s="10"/>
      <c r="L26" s="9"/>
      <c r="M26" s="35"/>
      <c r="N26" s="36"/>
    </row>
    <row r="27" spans="2:14" ht="18" customHeight="1" x14ac:dyDescent="0.2">
      <c r="B27" s="24"/>
      <c r="C27" s="57"/>
      <c r="D27" s="58"/>
      <c r="E27" s="57"/>
      <c r="F27" s="58"/>
      <c r="G27" s="57"/>
      <c r="H27" s="58"/>
      <c r="I27" s="66"/>
      <c r="J27" s="67"/>
      <c r="K27" s="16"/>
      <c r="L27" s="17"/>
      <c r="M27" s="37"/>
      <c r="N27" s="38"/>
    </row>
    <row r="28" spans="2:14" ht="18" customHeight="1" x14ac:dyDescent="0.2">
      <c r="B28" s="23"/>
      <c r="C28" s="59"/>
      <c r="D28" s="60"/>
      <c r="E28" s="59"/>
      <c r="F28" s="60"/>
      <c r="G28" s="59"/>
      <c r="H28" s="60"/>
      <c r="I28" s="59"/>
      <c r="J28" s="65"/>
      <c r="K28" s="41" t="s">
        <v>15</v>
      </c>
      <c r="L28" s="8"/>
      <c r="M28" s="85"/>
      <c r="N28" s="86"/>
    </row>
    <row r="29" spans="2:14" ht="18" customHeight="1" x14ac:dyDescent="0.2">
      <c r="B29" s="24"/>
      <c r="C29" s="57"/>
      <c r="D29" s="58"/>
      <c r="E29" s="57"/>
      <c r="F29" s="58"/>
      <c r="G29" s="57"/>
      <c r="H29" s="58"/>
      <c r="I29" s="57"/>
      <c r="J29" s="89"/>
      <c r="K29" s="42"/>
      <c r="L29" s="9"/>
      <c r="M29" s="35"/>
      <c r="N29" s="36"/>
    </row>
    <row r="30" spans="2:14" ht="18" customHeight="1" x14ac:dyDescent="0.2">
      <c r="B30" s="23"/>
      <c r="C30" s="59"/>
      <c r="D30" s="60"/>
      <c r="E30" s="59"/>
      <c r="F30" s="60"/>
      <c r="G30" s="59"/>
      <c r="H30" s="60"/>
      <c r="I30" s="87"/>
      <c r="J30" s="88"/>
      <c r="K30" s="42"/>
      <c r="L30" s="9"/>
      <c r="M30" s="35"/>
      <c r="N30" s="36"/>
    </row>
    <row r="31" spans="2:14" ht="18" customHeight="1" x14ac:dyDescent="0.2">
      <c r="B31" s="24"/>
      <c r="C31" s="57"/>
      <c r="D31" s="58"/>
      <c r="E31" s="57"/>
      <c r="F31" s="58"/>
      <c r="G31" s="57"/>
      <c r="H31" s="58"/>
      <c r="I31" s="57"/>
      <c r="J31" s="89"/>
      <c r="K31" s="18"/>
      <c r="L31" s="9"/>
      <c r="M31" s="35"/>
      <c r="N31" s="36"/>
    </row>
    <row r="32" spans="2:14" ht="18" customHeight="1" x14ac:dyDescent="0.2">
      <c r="B32" s="23"/>
      <c r="C32" s="59"/>
      <c r="D32" s="60"/>
      <c r="E32" s="59"/>
      <c r="F32" s="60"/>
      <c r="G32" s="59"/>
      <c r="H32" s="60"/>
      <c r="I32" s="90"/>
      <c r="J32" s="91"/>
      <c r="K32" s="18"/>
      <c r="L32" s="9"/>
      <c r="M32" s="35"/>
      <c r="N32" s="36"/>
    </row>
    <row r="33" spans="2:14" ht="18" customHeight="1" x14ac:dyDescent="0.2">
      <c r="B33" s="28"/>
      <c r="C33" s="100"/>
      <c r="D33" s="101"/>
      <c r="E33" s="100"/>
      <c r="F33" s="101"/>
      <c r="G33" s="100"/>
      <c r="H33" s="101"/>
      <c r="I33" s="102"/>
      <c r="J33" s="103"/>
      <c r="K33" s="20"/>
      <c r="L33" s="21"/>
      <c r="M33" s="83"/>
      <c r="N33" s="84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VLOOKUP(DAY(C4),DíasDeTareas,1,FALSE)=DAY(C4)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33"/>
  <sheetViews>
    <sheetView showGridLines="0" zoomScaleNormal="100" zoomScalePageLayoutView="84" workbookViewId="0">
      <selection activeCell="C23" sqref="C23:D23"/>
    </sheetView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style="1" customWidth="1"/>
    <col min="13" max="13" width="51.42578125" style="1" customWidth="1"/>
    <col min="14" max="14" width="10.7109375" style="1" customWidth="1"/>
    <col min="15" max="15" width="2.28515625" style="1" customWidth="1"/>
    <col min="16" max="22" width="8.85546875" style="1" customWidth="1"/>
    <col min="23" max="16384" width="8.7109375" style="1"/>
  </cols>
  <sheetData>
    <row r="1" spans="1:14" ht="11.25" customHeight="1" x14ac:dyDescent="0.2">
      <c r="A1" s="5"/>
      <c r="B1" s="5"/>
      <c r="C1" s="5"/>
      <c r="D1" s="5"/>
      <c r="E1" s="5"/>
      <c r="F1" s="5"/>
      <c r="G1" s="5"/>
    </row>
    <row r="2" spans="1:14" ht="18" customHeight="1" x14ac:dyDescent="0.2">
      <c r="A2" s="2"/>
      <c r="B2" s="77" t="s">
        <v>19</v>
      </c>
      <c r="C2" s="3"/>
      <c r="D2" s="3"/>
      <c r="E2" s="3"/>
      <c r="F2" s="3"/>
      <c r="G2" s="3"/>
      <c r="H2" s="3"/>
      <c r="I2" s="3"/>
      <c r="J2" s="4"/>
      <c r="K2" s="46" t="s">
        <v>2</v>
      </c>
      <c r="L2" s="47">
        <v>2013</v>
      </c>
      <c r="M2" s="47"/>
      <c r="N2" s="26"/>
    </row>
    <row r="3" spans="1:14" ht="21" customHeight="1" x14ac:dyDescent="0.2">
      <c r="A3" s="2"/>
      <c r="B3" s="78"/>
      <c r="C3" s="5" t="s">
        <v>4</v>
      </c>
      <c r="D3" s="5" t="s">
        <v>1</v>
      </c>
      <c r="E3" s="5" t="s">
        <v>5</v>
      </c>
      <c r="F3" s="5" t="s">
        <v>6</v>
      </c>
      <c r="G3" s="5" t="s">
        <v>7</v>
      </c>
      <c r="H3" s="5" t="s">
        <v>0</v>
      </c>
      <c r="I3" s="5" t="s">
        <v>8</v>
      </c>
      <c r="J3" s="6"/>
      <c r="K3" s="48"/>
      <c r="L3" s="49"/>
      <c r="M3" s="49"/>
      <c r="N3" s="27"/>
    </row>
    <row r="4" spans="1:14" ht="18" customHeight="1" x14ac:dyDescent="0.2">
      <c r="A4" s="2"/>
      <c r="B4" s="78"/>
      <c r="C4" s="7">
        <f>IF(DAY(AgoDom1)=1,AgoDom1-6,AgoDom1+1)</f>
        <v>42583</v>
      </c>
      <c r="D4" s="7">
        <f>IF(DAY(AgoDom1)=1,AgoDom1-5,AgoDom1+2)</f>
        <v>42584</v>
      </c>
      <c r="E4" s="7">
        <f>IF(DAY(AgoDom1)=1,AgoDom1-4,AgoDom1+3)</f>
        <v>42585</v>
      </c>
      <c r="F4" s="7">
        <f>IF(DAY(AgoDom1)=1,AgoDom1-3,AgoDom1+4)</f>
        <v>42586</v>
      </c>
      <c r="G4" s="7">
        <f>IF(DAY(AgoDom1)=1,AgoDom1-2,AgoDom1+5)</f>
        <v>42587</v>
      </c>
      <c r="H4" s="7">
        <f>IF(DAY(AgoDom1)=1,AgoDom1-1,AgoDom1+6)</f>
        <v>42588</v>
      </c>
      <c r="I4" s="7">
        <f>IF(DAY(AgoDom1)=1,AgoDom1,AgoDom1+7)</f>
        <v>42589</v>
      </c>
      <c r="J4" s="6"/>
      <c r="K4" s="50" t="s">
        <v>11</v>
      </c>
      <c r="L4" s="8"/>
      <c r="M4" s="94"/>
      <c r="N4" s="95"/>
    </row>
    <row r="5" spans="1:14" ht="18" customHeight="1" x14ac:dyDescent="0.2">
      <c r="A5" s="2"/>
      <c r="B5" s="78"/>
      <c r="C5" s="7">
        <f>IF(DAY(AgoDom1)=1,AgoDom1+1,AgoDom1+8)</f>
        <v>42590</v>
      </c>
      <c r="D5" s="7">
        <f>IF(DAY(AgoDom1)=1,AgoDom1+2,AgoDom1+9)</f>
        <v>42591</v>
      </c>
      <c r="E5" s="7">
        <f>IF(DAY(AgoDom1)=1,AgoDom1+3,AgoDom1+10)</f>
        <v>42592</v>
      </c>
      <c r="F5" s="7">
        <f>IF(DAY(AgoDom1)=1,AgoDom1+4,AgoDom1+11)</f>
        <v>42593</v>
      </c>
      <c r="G5" s="7">
        <f>IF(DAY(AgoDom1)=1,AgoDom1+5,AgoDom1+12)</f>
        <v>42594</v>
      </c>
      <c r="H5" s="7">
        <f>IF(DAY(AgoDom1)=1,AgoDom1+6,AgoDom1+13)</f>
        <v>42595</v>
      </c>
      <c r="I5" s="7">
        <f>IF(DAY(AgoDom1)=1,AgoDom1+7,AgoDom1+14)</f>
        <v>42596</v>
      </c>
      <c r="J5" s="6"/>
      <c r="K5" s="42"/>
      <c r="L5" s="9"/>
      <c r="M5" s="35"/>
      <c r="N5" s="36"/>
    </row>
    <row r="6" spans="1:14" ht="18" customHeight="1" x14ac:dyDescent="0.2">
      <c r="A6" s="2"/>
      <c r="B6" s="78"/>
      <c r="C6" s="7">
        <f>IF(DAY(AgoDom1)=1,AgoDom1+8,AgoDom1+15)</f>
        <v>42597</v>
      </c>
      <c r="D6" s="7">
        <f>IF(DAY(AgoDom1)=1,AgoDom1+9,AgoDom1+16)</f>
        <v>42598</v>
      </c>
      <c r="E6" s="7">
        <f>IF(DAY(AgoDom1)=1,AgoDom1+10,AgoDom1+17)</f>
        <v>42599</v>
      </c>
      <c r="F6" s="7">
        <f>IF(DAY(AgoDom1)=1,AgoDom1+11,AgoDom1+18)</f>
        <v>42600</v>
      </c>
      <c r="G6" s="7">
        <f>IF(DAY(AgoDom1)=1,AgoDom1+12,AgoDom1+19)</f>
        <v>42601</v>
      </c>
      <c r="H6" s="7">
        <f>IF(DAY(AgoDom1)=1,AgoDom1+13,AgoDom1+20)</f>
        <v>42602</v>
      </c>
      <c r="I6" s="7">
        <f>IF(DAY(AgoDom1)=1,AgoDom1+14,AgoDom1+21)</f>
        <v>42603</v>
      </c>
      <c r="J6" s="6"/>
      <c r="K6" s="42"/>
      <c r="L6" s="9"/>
      <c r="M6" s="35"/>
      <c r="N6" s="36"/>
    </row>
    <row r="7" spans="1:14" ht="18" customHeight="1" x14ac:dyDescent="0.2">
      <c r="A7" s="2"/>
      <c r="B7" s="78"/>
      <c r="C7" s="7">
        <f>IF(DAY(AgoDom1)=1,AgoDom1+15,AgoDom1+22)</f>
        <v>42604</v>
      </c>
      <c r="D7" s="7">
        <f>IF(DAY(AgoDom1)=1,AgoDom1+16,AgoDom1+23)</f>
        <v>42605</v>
      </c>
      <c r="E7" s="7">
        <f>IF(DAY(AgoDom1)=1,AgoDom1+17,AgoDom1+24)</f>
        <v>42606</v>
      </c>
      <c r="F7" s="7">
        <f>IF(DAY(AgoDom1)=1,AgoDom1+18,AgoDom1+25)</f>
        <v>42607</v>
      </c>
      <c r="G7" s="7">
        <f>IF(DAY(AgoDom1)=1,AgoDom1+19,AgoDom1+26)</f>
        <v>42608</v>
      </c>
      <c r="H7" s="7">
        <f>IF(DAY(AgoDom1)=1,AgoDom1+20,AgoDom1+27)</f>
        <v>42609</v>
      </c>
      <c r="I7" s="7">
        <f>IF(DAY(AgoDom1)=1,AgoDom1+21,AgoDom1+28)</f>
        <v>42610</v>
      </c>
      <c r="J7" s="6"/>
      <c r="K7" s="10"/>
      <c r="L7" s="9"/>
      <c r="M7" s="35"/>
      <c r="N7" s="36"/>
    </row>
    <row r="8" spans="1:14" ht="18.75" customHeight="1" x14ac:dyDescent="0.2">
      <c r="A8" s="2"/>
      <c r="B8" s="78"/>
      <c r="C8" s="7">
        <f>IF(DAY(AgoDom1)=1,AgoDom1+22,AgoDom1+29)</f>
        <v>42611</v>
      </c>
      <c r="D8" s="7">
        <f>IF(DAY(AgoDom1)=1,AgoDom1+23,AgoDom1+30)</f>
        <v>42612</v>
      </c>
      <c r="E8" s="7">
        <f>IF(DAY(AgoDom1)=1,AgoDom1+24,AgoDom1+31)</f>
        <v>42613</v>
      </c>
      <c r="F8" s="7">
        <f>IF(DAY(AgoDom1)=1,AgoDom1+25,AgoDom1+32)</f>
        <v>42614</v>
      </c>
      <c r="G8" s="7">
        <f>IF(DAY(AgoDom1)=1,AgoDom1+26,AgoDom1+33)</f>
        <v>42615</v>
      </c>
      <c r="H8" s="7">
        <f>IF(DAY(AgoDom1)=1,AgoDom1+27,AgoDom1+34)</f>
        <v>42616</v>
      </c>
      <c r="I8" s="7">
        <f>IF(DAY(AgoDom1)=1,AgoDom1+28,AgoDom1+35)</f>
        <v>42617</v>
      </c>
      <c r="J8" s="6"/>
      <c r="K8" s="10"/>
      <c r="L8" s="9"/>
      <c r="M8" s="35"/>
      <c r="N8" s="36"/>
    </row>
    <row r="9" spans="1:14" ht="18" customHeight="1" x14ac:dyDescent="0.2">
      <c r="A9" s="2"/>
      <c r="B9" s="78"/>
      <c r="C9" s="7">
        <f>IF(DAY(AgoDom1)=1,AgoDom1+29,AgoDom1+36)</f>
        <v>42618</v>
      </c>
      <c r="D9" s="7">
        <f>IF(DAY(AgoDom1)=1,AgoDom1+30,AgoDom1+37)</f>
        <v>42619</v>
      </c>
      <c r="E9" s="7">
        <f>IF(DAY(AgoDom1)=1,AgoDom1+31,AgoDom1+38)</f>
        <v>42620</v>
      </c>
      <c r="F9" s="7">
        <f>IF(DAY(AgoDom1)=1,AgoDom1+32,AgoDom1+39)</f>
        <v>42621</v>
      </c>
      <c r="G9" s="7">
        <f>IF(DAY(AgoDom1)=1,AgoDom1+33,AgoDom1+40)</f>
        <v>42622</v>
      </c>
      <c r="H9" s="7">
        <f>IF(DAY(AgoDom1)=1,AgoDom1+34,AgoDom1+41)</f>
        <v>42623</v>
      </c>
      <c r="I9" s="7">
        <f>IF(DAY(AgoDom1)=1,AgoDom1+35,AgoDom1+42)</f>
        <v>42624</v>
      </c>
      <c r="J9" s="6"/>
      <c r="K9" s="11"/>
      <c r="L9" s="12"/>
      <c r="M9" s="37"/>
      <c r="N9" s="38"/>
    </row>
    <row r="10" spans="1:14" ht="18" customHeight="1" x14ac:dyDescent="0.2">
      <c r="A10" s="2"/>
      <c r="B10" s="79"/>
      <c r="C10" s="13"/>
      <c r="D10" s="13"/>
      <c r="E10" s="13"/>
      <c r="F10" s="13"/>
      <c r="G10" s="13"/>
      <c r="H10" s="13"/>
      <c r="I10" s="13"/>
      <c r="J10" s="14"/>
      <c r="K10" s="41" t="s">
        <v>12</v>
      </c>
      <c r="L10" s="8"/>
      <c r="M10" s="85"/>
      <c r="N10" s="86"/>
    </row>
    <row r="11" spans="1:14" ht="18" customHeight="1" x14ac:dyDescent="0.2">
      <c r="A11" s="2"/>
      <c r="B11" s="80" t="s">
        <v>10</v>
      </c>
      <c r="C11" s="81"/>
      <c r="D11" s="81"/>
      <c r="E11" s="81"/>
      <c r="F11" s="81"/>
      <c r="G11" s="81"/>
      <c r="H11" s="81"/>
      <c r="I11" s="81"/>
      <c r="J11" s="82"/>
      <c r="K11" s="42"/>
      <c r="L11" s="9"/>
      <c r="M11" s="35"/>
      <c r="N11" s="36"/>
    </row>
    <row r="12" spans="1:14" ht="18" customHeight="1" x14ac:dyDescent="0.2">
      <c r="A12" s="2"/>
      <c r="B12" s="80"/>
      <c r="C12" s="81"/>
      <c r="D12" s="81"/>
      <c r="E12" s="81"/>
      <c r="F12" s="81"/>
      <c r="G12" s="81"/>
      <c r="H12" s="81"/>
      <c r="I12" s="81"/>
      <c r="J12" s="82"/>
      <c r="K12" s="42"/>
      <c r="L12" s="9"/>
      <c r="M12" s="35"/>
      <c r="N12" s="36"/>
    </row>
    <row r="13" spans="1:14" ht="18" customHeight="1" x14ac:dyDescent="0.2">
      <c r="B13" s="22" t="s">
        <v>11</v>
      </c>
      <c r="C13" s="43" t="s">
        <v>12</v>
      </c>
      <c r="D13" s="45"/>
      <c r="E13" s="43" t="s">
        <v>13</v>
      </c>
      <c r="F13" s="45"/>
      <c r="G13" s="43" t="s">
        <v>14</v>
      </c>
      <c r="H13" s="45"/>
      <c r="I13" s="43" t="s">
        <v>15</v>
      </c>
      <c r="J13" s="44"/>
      <c r="K13" s="10"/>
      <c r="L13" s="9"/>
      <c r="M13" s="35"/>
      <c r="N13" s="36"/>
    </row>
    <row r="14" spans="1:14" ht="18" customHeight="1" x14ac:dyDescent="0.2">
      <c r="B14" s="23"/>
      <c r="C14" s="59"/>
      <c r="D14" s="60"/>
      <c r="E14" s="59"/>
      <c r="F14" s="60"/>
      <c r="G14" s="59"/>
      <c r="H14" s="60"/>
      <c r="I14" s="59"/>
      <c r="J14" s="65"/>
      <c r="K14" s="10"/>
      <c r="L14" s="9"/>
      <c r="M14" s="35"/>
      <c r="N14" s="36"/>
    </row>
    <row r="15" spans="1:14" ht="18" customHeight="1" x14ac:dyDescent="0.2">
      <c r="B15" s="24"/>
      <c r="C15" s="57"/>
      <c r="D15" s="58"/>
      <c r="E15" s="57"/>
      <c r="F15" s="58"/>
      <c r="G15" s="57"/>
      <c r="H15" s="58"/>
      <c r="I15" s="66"/>
      <c r="J15" s="67"/>
      <c r="K15" s="16"/>
      <c r="L15" s="17"/>
      <c r="M15" s="37"/>
      <c r="N15" s="38"/>
    </row>
    <row r="16" spans="1:14" ht="18" customHeight="1" x14ac:dyDescent="0.2">
      <c r="B16" s="23"/>
      <c r="C16" s="59"/>
      <c r="D16" s="60"/>
      <c r="E16" s="59"/>
      <c r="F16" s="60"/>
      <c r="G16" s="59"/>
      <c r="H16" s="60"/>
      <c r="I16" s="90"/>
      <c r="J16" s="91"/>
      <c r="K16" s="33" t="s">
        <v>13</v>
      </c>
      <c r="L16" s="8"/>
      <c r="M16" s="85"/>
      <c r="N16" s="86"/>
    </row>
    <row r="17" spans="2:14" ht="18" customHeight="1" x14ac:dyDescent="0.2">
      <c r="B17" s="24"/>
      <c r="C17" s="57"/>
      <c r="D17" s="58"/>
      <c r="E17" s="57"/>
      <c r="F17" s="58"/>
      <c r="G17" s="57"/>
      <c r="H17" s="58"/>
      <c r="I17" s="66"/>
      <c r="J17" s="67"/>
      <c r="K17" s="34"/>
      <c r="L17" s="9"/>
      <c r="M17" s="35"/>
      <c r="N17" s="36"/>
    </row>
    <row r="18" spans="2:14" ht="18" customHeight="1" x14ac:dyDescent="0.2">
      <c r="B18" s="25"/>
      <c r="C18" s="63"/>
      <c r="D18" s="64"/>
      <c r="E18" s="63"/>
      <c r="F18" s="64"/>
      <c r="G18" s="63"/>
      <c r="H18" s="64"/>
      <c r="I18" s="63"/>
      <c r="J18" s="76"/>
      <c r="K18" s="34"/>
      <c r="L18" s="9"/>
      <c r="M18" s="35"/>
      <c r="N18" s="36"/>
    </row>
    <row r="19" spans="2:14" ht="18" customHeight="1" x14ac:dyDescent="0.2">
      <c r="B19" s="24"/>
      <c r="C19" s="57"/>
      <c r="D19" s="58"/>
      <c r="E19" s="57"/>
      <c r="F19" s="58"/>
      <c r="G19" s="57"/>
      <c r="H19" s="58"/>
      <c r="I19" s="66"/>
      <c r="J19" s="67"/>
      <c r="K19" s="10"/>
      <c r="L19" s="9"/>
      <c r="M19" s="35"/>
      <c r="N19" s="36"/>
    </row>
    <row r="20" spans="2:14" ht="18" customHeight="1" x14ac:dyDescent="0.2">
      <c r="B20" s="23"/>
      <c r="C20" s="59"/>
      <c r="D20" s="60"/>
      <c r="E20" s="59"/>
      <c r="F20" s="60"/>
      <c r="G20" s="59"/>
      <c r="H20" s="60"/>
      <c r="I20" s="59"/>
      <c r="J20" s="65"/>
      <c r="K20" s="10"/>
      <c r="L20" s="9"/>
      <c r="M20" s="35"/>
      <c r="N20" s="36"/>
    </row>
    <row r="21" spans="2:14" ht="18" customHeight="1" x14ac:dyDescent="0.2">
      <c r="B21" s="24"/>
      <c r="C21" s="57"/>
      <c r="D21" s="58"/>
      <c r="E21" s="57"/>
      <c r="F21" s="58"/>
      <c r="G21" s="57"/>
      <c r="H21" s="58"/>
      <c r="I21" s="104"/>
      <c r="J21" s="105"/>
      <c r="K21" s="16"/>
      <c r="L21" s="17"/>
      <c r="M21" s="37"/>
      <c r="N21" s="38"/>
    </row>
    <row r="22" spans="2:14" ht="18" customHeight="1" x14ac:dyDescent="0.2">
      <c r="B22" s="23"/>
      <c r="C22" s="59"/>
      <c r="D22" s="60"/>
      <c r="E22" s="59"/>
      <c r="F22" s="60"/>
      <c r="G22" s="59"/>
      <c r="H22" s="60"/>
      <c r="I22" s="59"/>
      <c r="J22" s="65"/>
      <c r="K22" s="33" t="s">
        <v>14</v>
      </c>
      <c r="L22" s="8"/>
      <c r="M22" s="85"/>
      <c r="N22" s="86"/>
    </row>
    <row r="23" spans="2:14" ht="18" customHeight="1" x14ac:dyDescent="0.2">
      <c r="B23" s="24"/>
      <c r="C23" s="57"/>
      <c r="D23" s="58"/>
      <c r="E23" s="57"/>
      <c r="F23" s="58"/>
      <c r="G23" s="57"/>
      <c r="H23" s="58"/>
      <c r="I23" s="66"/>
      <c r="J23" s="67"/>
      <c r="K23" s="34"/>
      <c r="L23" s="9"/>
      <c r="M23" s="35"/>
      <c r="N23" s="36"/>
    </row>
    <row r="24" spans="2:14" ht="18" customHeight="1" x14ac:dyDescent="0.2">
      <c r="B24" s="23"/>
      <c r="C24" s="59"/>
      <c r="D24" s="60"/>
      <c r="E24" s="59"/>
      <c r="F24" s="60"/>
      <c r="G24" s="59"/>
      <c r="H24" s="60"/>
      <c r="I24" s="59"/>
      <c r="J24" s="65"/>
      <c r="K24" s="34"/>
      <c r="L24" s="9"/>
      <c r="M24" s="35"/>
      <c r="N24" s="36"/>
    </row>
    <row r="25" spans="2:14" ht="18" customHeight="1" x14ac:dyDescent="0.2">
      <c r="B25" s="24"/>
      <c r="C25" s="57"/>
      <c r="D25" s="58"/>
      <c r="E25" s="57"/>
      <c r="F25" s="58"/>
      <c r="G25" s="57"/>
      <c r="H25" s="58"/>
      <c r="I25" s="66"/>
      <c r="J25" s="67"/>
      <c r="K25" s="34"/>
      <c r="L25" s="9"/>
      <c r="M25" s="35"/>
      <c r="N25" s="36"/>
    </row>
    <row r="26" spans="2:14" ht="18" customHeight="1" x14ac:dyDescent="0.2">
      <c r="B26" s="23"/>
      <c r="C26" s="59"/>
      <c r="D26" s="60"/>
      <c r="E26" s="59"/>
      <c r="F26" s="60"/>
      <c r="G26" s="59"/>
      <c r="H26" s="60"/>
      <c r="I26" s="59"/>
      <c r="J26" s="65"/>
      <c r="K26" s="10"/>
      <c r="L26" s="9"/>
      <c r="M26" s="35"/>
      <c r="N26" s="36"/>
    </row>
    <row r="27" spans="2:14" ht="18" customHeight="1" x14ac:dyDescent="0.2">
      <c r="B27" s="24"/>
      <c r="C27" s="57"/>
      <c r="D27" s="58"/>
      <c r="E27" s="57"/>
      <c r="F27" s="58"/>
      <c r="G27" s="57"/>
      <c r="H27" s="58"/>
      <c r="I27" s="66"/>
      <c r="J27" s="67"/>
      <c r="K27" s="16"/>
      <c r="L27" s="17"/>
      <c r="M27" s="37"/>
      <c r="N27" s="38"/>
    </row>
    <row r="28" spans="2:14" ht="18" customHeight="1" x14ac:dyDescent="0.2">
      <c r="B28" s="23"/>
      <c r="C28" s="59"/>
      <c r="D28" s="60"/>
      <c r="E28" s="59"/>
      <c r="F28" s="60"/>
      <c r="G28" s="59"/>
      <c r="H28" s="60"/>
      <c r="I28" s="59"/>
      <c r="J28" s="65"/>
      <c r="K28" s="41" t="s">
        <v>15</v>
      </c>
      <c r="L28" s="8"/>
      <c r="M28" s="85"/>
      <c r="N28" s="86"/>
    </row>
    <row r="29" spans="2:14" ht="18" customHeight="1" x14ac:dyDescent="0.2">
      <c r="B29" s="24"/>
      <c r="C29" s="57"/>
      <c r="D29" s="58"/>
      <c r="E29" s="57"/>
      <c r="F29" s="58"/>
      <c r="G29" s="57"/>
      <c r="H29" s="58"/>
      <c r="I29" s="57"/>
      <c r="J29" s="89"/>
      <c r="K29" s="42"/>
      <c r="L29" s="9"/>
      <c r="M29" s="35"/>
      <c r="N29" s="36"/>
    </row>
    <row r="30" spans="2:14" ht="18" customHeight="1" x14ac:dyDescent="0.2">
      <c r="B30" s="23"/>
      <c r="C30" s="59"/>
      <c r="D30" s="60"/>
      <c r="E30" s="59"/>
      <c r="F30" s="60"/>
      <c r="G30" s="59"/>
      <c r="H30" s="60"/>
      <c r="I30" s="87"/>
      <c r="J30" s="88"/>
      <c r="K30" s="42"/>
      <c r="L30" s="9"/>
      <c r="M30" s="35"/>
      <c r="N30" s="36"/>
    </row>
    <row r="31" spans="2:14" ht="18" customHeight="1" x14ac:dyDescent="0.2">
      <c r="B31" s="24"/>
      <c r="C31" s="57"/>
      <c r="D31" s="58"/>
      <c r="E31" s="57"/>
      <c r="F31" s="58"/>
      <c r="G31" s="57"/>
      <c r="H31" s="58"/>
      <c r="I31" s="57"/>
      <c r="J31" s="89"/>
      <c r="K31" s="18"/>
      <c r="L31" s="9"/>
      <c r="M31" s="35"/>
      <c r="N31" s="36"/>
    </row>
    <row r="32" spans="2:14" ht="18" customHeight="1" x14ac:dyDescent="0.2">
      <c r="B32" s="23"/>
      <c r="C32" s="59"/>
      <c r="D32" s="60"/>
      <c r="E32" s="59"/>
      <c r="F32" s="60"/>
      <c r="G32" s="59"/>
      <c r="H32" s="60"/>
      <c r="I32" s="90"/>
      <c r="J32" s="91"/>
      <c r="K32" s="18"/>
      <c r="L32" s="9"/>
      <c r="M32" s="35"/>
      <c r="N32" s="36"/>
    </row>
    <row r="33" spans="2:14" ht="18" customHeight="1" x14ac:dyDescent="0.2">
      <c r="B33" s="19"/>
      <c r="C33" s="61"/>
      <c r="D33" s="62"/>
      <c r="E33" s="61"/>
      <c r="F33" s="62"/>
      <c r="G33" s="61"/>
      <c r="H33" s="62"/>
      <c r="I33" s="92"/>
      <c r="J33" s="93"/>
      <c r="K33" s="20"/>
      <c r="L33" s="21"/>
      <c r="M33" s="83"/>
      <c r="N33" s="84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VLOOKUP(DAY(C4),DíasDeTareas,1,FALSE)=DAY(C4)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34"/>
  <sheetViews>
    <sheetView showGridLines="0" zoomScaleNormal="100" zoomScalePageLayoutView="84" workbookViewId="0">
      <selection activeCell="M16" sqref="M16:N16"/>
    </sheetView>
  </sheetViews>
  <sheetFormatPr baseColWidth="10"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style="1" customWidth="1"/>
    <col min="13" max="13" width="51.42578125" style="1" customWidth="1"/>
    <col min="14" max="14" width="10.7109375" style="1" customWidth="1"/>
    <col min="15" max="15" width="2.28515625" style="1" customWidth="1"/>
    <col min="16" max="22" width="8.85546875" style="1" customWidth="1"/>
    <col min="23" max="16384" width="8.7109375" style="1"/>
  </cols>
  <sheetData>
    <row r="1" spans="1:14" ht="11.25" customHeight="1" x14ac:dyDescent="0.2"/>
    <row r="2" spans="1:14" ht="18" customHeight="1" x14ac:dyDescent="0.2">
      <c r="A2" s="2"/>
      <c r="B2" s="77" t="s">
        <v>18</v>
      </c>
      <c r="C2" s="3"/>
      <c r="D2" s="3"/>
      <c r="E2" s="3"/>
      <c r="F2" s="3"/>
      <c r="G2" s="3"/>
      <c r="H2" s="3"/>
      <c r="I2" s="3"/>
      <c r="J2" s="4"/>
      <c r="K2" s="46" t="s">
        <v>2</v>
      </c>
      <c r="L2" s="47">
        <v>2013</v>
      </c>
      <c r="M2" s="47"/>
      <c r="N2" s="26"/>
    </row>
    <row r="3" spans="1:14" ht="21" customHeight="1" x14ac:dyDescent="0.2">
      <c r="A3" s="2"/>
      <c r="B3" s="78"/>
      <c r="C3" s="5" t="s">
        <v>4</v>
      </c>
      <c r="D3" s="5" t="s">
        <v>1</v>
      </c>
      <c r="E3" s="5" t="s">
        <v>5</v>
      </c>
      <c r="F3" s="5" t="s">
        <v>6</v>
      </c>
      <c r="G3" s="5" t="s">
        <v>7</v>
      </c>
      <c r="H3" s="5" t="s">
        <v>0</v>
      </c>
      <c r="I3" s="5" t="s">
        <v>8</v>
      </c>
      <c r="J3" s="6"/>
      <c r="K3" s="48"/>
      <c r="L3" s="49"/>
      <c r="M3" s="49"/>
      <c r="N3" s="27"/>
    </row>
    <row r="4" spans="1:14" ht="18" customHeight="1" x14ac:dyDescent="0.2">
      <c r="A4" s="2"/>
      <c r="B4" s="78"/>
      <c r="C4" s="7">
        <f>IF(DAY(SepDom1)=1,SepDom1-6,SepDom1+1)</f>
        <v>42611</v>
      </c>
      <c r="D4" s="7">
        <f>IF(DAY(SepDom1)=1,SepDom1-5,SepDom1+2)</f>
        <v>42612</v>
      </c>
      <c r="E4" s="7">
        <f>IF(DAY(SepDom1)=1,SepDom1-4,SepDom1+3)</f>
        <v>42613</v>
      </c>
      <c r="F4" s="7">
        <f>IF(DAY(SepDom1)=1,SepDom1-3,SepDom1+4)</f>
        <v>42614</v>
      </c>
      <c r="G4" s="7">
        <f>IF(DAY(SepDom1)=1,SepDom1-2,SepDom1+5)</f>
        <v>42615</v>
      </c>
      <c r="H4" s="7">
        <f>IF(DAY(SepDom1)=1,SepDom1-1,SepDom1+6)</f>
        <v>42616</v>
      </c>
      <c r="I4" s="7">
        <f>IF(DAY(SepDom1)=1,SepDom1,SepDom1+7)</f>
        <v>42617</v>
      </c>
      <c r="J4" s="6"/>
      <c r="K4" s="50" t="s">
        <v>11</v>
      </c>
      <c r="L4" s="8"/>
      <c r="M4" s="94"/>
      <c r="N4" s="95"/>
    </row>
    <row r="5" spans="1:14" ht="18" customHeight="1" x14ac:dyDescent="0.2">
      <c r="A5" s="2"/>
      <c r="B5" s="78"/>
      <c r="C5" s="7">
        <f>IF(DAY(SepDom1)=1,SepDom1+1,SepDom1+8)</f>
        <v>42618</v>
      </c>
      <c r="D5" s="7">
        <f>IF(DAY(SepDom1)=1,SepDom1+2,SepDom1+9)</f>
        <v>42619</v>
      </c>
      <c r="E5" s="7">
        <f>IF(DAY(SepDom1)=1,SepDom1+3,SepDom1+10)</f>
        <v>42620</v>
      </c>
      <c r="F5" s="7">
        <f>IF(DAY(SepDom1)=1,SepDom1+4,SepDom1+11)</f>
        <v>42621</v>
      </c>
      <c r="G5" s="7">
        <f>IF(DAY(SepDom1)=1,SepDom1+5,SepDom1+12)</f>
        <v>42622</v>
      </c>
      <c r="H5" s="7">
        <f>IF(DAY(SepDom1)=1,SepDom1+6,SepDom1+13)</f>
        <v>42623</v>
      </c>
      <c r="I5" s="7">
        <f>IF(DAY(SepDom1)=1,SepDom1+7,SepDom1+14)</f>
        <v>42624</v>
      </c>
      <c r="J5" s="6"/>
      <c r="K5" s="42"/>
      <c r="L5" s="9"/>
      <c r="M5" s="35"/>
      <c r="N5" s="36"/>
    </row>
    <row r="6" spans="1:14" ht="18" customHeight="1" x14ac:dyDescent="0.2">
      <c r="A6" s="2"/>
      <c r="B6" s="78"/>
      <c r="C6" s="7">
        <f>IF(DAY(SepDom1)=1,SepDom1+8,SepDom1+15)</f>
        <v>42625</v>
      </c>
      <c r="D6" s="7">
        <f>IF(DAY(SepDom1)=1,SepDom1+9,SepDom1+16)</f>
        <v>42626</v>
      </c>
      <c r="E6" s="7">
        <f>IF(DAY(SepDom1)=1,SepDom1+10,SepDom1+17)</f>
        <v>42627</v>
      </c>
      <c r="F6" s="7">
        <f>IF(DAY(SepDom1)=1,SepDom1+11,SepDom1+18)</f>
        <v>42628</v>
      </c>
      <c r="G6" s="7">
        <f>IF(DAY(SepDom1)=1,SepDom1+12,SepDom1+19)</f>
        <v>42629</v>
      </c>
      <c r="H6" s="7">
        <f>IF(DAY(SepDom1)=1,SepDom1+13,SepDom1+20)</f>
        <v>42630</v>
      </c>
      <c r="I6" s="7">
        <f>IF(DAY(SepDom1)=1,SepDom1+14,SepDom1+21)</f>
        <v>42631</v>
      </c>
      <c r="J6" s="6"/>
      <c r="K6" s="42"/>
      <c r="L6" s="9"/>
      <c r="M6" s="35"/>
      <c r="N6" s="36"/>
    </row>
    <row r="7" spans="1:14" ht="18" customHeight="1" x14ac:dyDescent="0.2">
      <c r="A7" s="2"/>
      <c r="B7" s="78"/>
      <c r="C7" s="7">
        <f>IF(DAY(SepDom1)=1,SepDom1+15,SepDom1+22)</f>
        <v>42632</v>
      </c>
      <c r="D7" s="7">
        <f>IF(DAY(SepDom1)=1,SepDom1+16,SepDom1+23)</f>
        <v>42633</v>
      </c>
      <c r="E7" s="7">
        <f>IF(DAY(SepDom1)=1,SepDom1+17,SepDom1+24)</f>
        <v>42634</v>
      </c>
      <c r="F7" s="7">
        <f>IF(DAY(SepDom1)=1,SepDom1+18,SepDom1+25)</f>
        <v>42635</v>
      </c>
      <c r="G7" s="7">
        <f>IF(DAY(SepDom1)=1,SepDom1+19,SepDom1+26)</f>
        <v>42636</v>
      </c>
      <c r="H7" s="7">
        <f>IF(DAY(SepDom1)=1,SepDom1+20,SepDom1+27)</f>
        <v>42637</v>
      </c>
      <c r="I7" s="7">
        <f>IF(DAY(SepDom1)=1,SepDom1+21,SepDom1+28)</f>
        <v>42638</v>
      </c>
      <c r="J7" s="6"/>
      <c r="K7" s="10"/>
      <c r="L7" s="9"/>
      <c r="M7" s="35"/>
      <c r="N7" s="36"/>
    </row>
    <row r="8" spans="1:14" ht="18.75" customHeight="1" x14ac:dyDescent="0.2">
      <c r="A8" s="2"/>
      <c r="B8" s="78"/>
      <c r="C8" s="7">
        <f>IF(DAY(SepDom1)=1,SepDom1+22,SepDom1+29)</f>
        <v>42639</v>
      </c>
      <c r="D8" s="7">
        <f>IF(DAY(SepDom1)=1,SepDom1+23,SepDom1+30)</f>
        <v>42640</v>
      </c>
      <c r="E8" s="7">
        <f>IF(DAY(SepDom1)=1,SepDom1+24,SepDom1+31)</f>
        <v>42641</v>
      </c>
      <c r="F8" s="7">
        <f>IF(DAY(SepDom1)=1,SepDom1+25,SepDom1+32)</f>
        <v>42642</v>
      </c>
      <c r="G8" s="7">
        <f>IF(DAY(SepDom1)=1,SepDom1+26,SepDom1+33)</f>
        <v>42643</v>
      </c>
      <c r="H8" s="7">
        <f>IF(DAY(SepDom1)=1,SepDom1+27,SepDom1+34)</f>
        <v>42644</v>
      </c>
      <c r="I8" s="7">
        <f>IF(DAY(SepDom1)=1,SepDom1+28,SepDom1+35)</f>
        <v>42645</v>
      </c>
      <c r="J8" s="6"/>
      <c r="K8" s="10"/>
      <c r="L8" s="9"/>
      <c r="M8" s="35"/>
      <c r="N8" s="36"/>
    </row>
    <row r="9" spans="1:14" ht="18" customHeight="1" x14ac:dyDescent="0.2">
      <c r="A9" s="2"/>
      <c r="B9" s="78"/>
      <c r="C9" s="7">
        <f>IF(DAY(SepDom1)=1,SepDom1+29,SepDom1+36)</f>
        <v>42646</v>
      </c>
      <c r="D9" s="7">
        <f>IF(DAY(SepDom1)=1,SepDom1+30,SepDom1+37)</f>
        <v>42647</v>
      </c>
      <c r="E9" s="7">
        <f>IF(DAY(SepDom1)=1,SepDom1+31,SepDom1+38)</f>
        <v>42648</v>
      </c>
      <c r="F9" s="7">
        <f>IF(DAY(SepDom1)=1,SepDom1+32,SepDom1+39)</f>
        <v>42649</v>
      </c>
      <c r="G9" s="7">
        <f>IF(DAY(SepDom1)=1,SepDom1+33,SepDom1+40)</f>
        <v>42650</v>
      </c>
      <c r="H9" s="7">
        <f>IF(DAY(SepDom1)=1,SepDom1+34,SepDom1+41)</f>
        <v>42651</v>
      </c>
      <c r="I9" s="7">
        <f>IF(DAY(SepDom1)=1,SepDom1+35,SepDom1+42)</f>
        <v>42652</v>
      </c>
      <c r="J9" s="6"/>
      <c r="K9" s="11"/>
      <c r="L9" s="12"/>
      <c r="M9" s="37"/>
      <c r="N9" s="38"/>
    </row>
    <row r="10" spans="1:14" ht="18" customHeight="1" x14ac:dyDescent="0.2">
      <c r="A10" s="2"/>
      <c r="B10" s="79"/>
      <c r="C10" s="13"/>
      <c r="D10" s="13"/>
      <c r="E10" s="13"/>
      <c r="F10" s="13"/>
      <c r="G10" s="13"/>
      <c r="H10" s="13"/>
      <c r="I10" s="13"/>
      <c r="J10" s="14"/>
      <c r="K10" s="41" t="s">
        <v>12</v>
      </c>
      <c r="L10" s="8"/>
      <c r="M10" s="85"/>
      <c r="N10" s="86"/>
    </row>
    <row r="11" spans="1:14" ht="18" customHeight="1" x14ac:dyDescent="0.2">
      <c r="A11" s="2"/>
      <c r="B11" s="80" t="s">
        <v>10</v>
      </c>
      <c r="C11" s="81"/>
      <c r="D11" s="81"/>
      <c r="E11" s="81"/>
      <c r="F11" s="81"/>
      <c r="G11" s="81"/>
      <c r="H11" s="81"/>
      <c r="I11" s="81"/>
      <c r="J11" s="82"/>
      <c r="K11" s="42"/>
      <c r="L11" s="9"/>
      <c r="M11" s="35"/>
      <c r="N11" s="36"/>
    </row>
    <row r="12" spans="1:14" ht="18" customHeight="1" x14ac:dyDescent="0.2">
      <c r="A12" s="2"/>
      <c r="B12" s="80"/>
      <c r="C12" s="81"/>
      <c r="D12" s="81"/>
      <c r="E12" s="81"/>
      <c r="F12" s="81"/>
      <c r="G12" s="81"/>
      <c r="H12" s="81"/>
      <c r="I12" s="81"/>
      <c r="J12" s="82"/>
      <c r="K12" s="42"/>
      <c r="L12" s="9"/>
      <c r="M12" s="35"/>
      <c r="N12" s="36"/>
    </row>
    <row r="13" spans="1:14" ht="18" customHeight="1" x14ac:dyDescent="0.2">
      <c r="B13" s="15" t="s">
        <v>11</v>
      </c>
      <c r="C13" s="106" t="s">
        <v>12</v>
      </c>
      <c r="D13" s="107"/>
      <c r="E13" s="106" t="s">
        <v>13</v>
      </c>
      <c r="F13" s="107"/>
      <c r="G13" s="106" t="s">
        <v>14</v>
      </c>
      <c r="H13" s="107"/>
      <c r="I13" s="106" t="s">
        <v>15</v>
      </c>
      <c r="J13" s="108"/>
      <c r="K13" s="10"/>
      <c r="L13" s="9"/>
      <c r="M13" s="35"/>
      <c r="N13" s="36"/>
    </row>
    <row r="14" spans="1:14" ht="18" customHeight="1" x14ac:dyDescent="0.2">
      <c r="B14" s="23"/>
      <c r="C14" s="59"/>
      <c r="D14" s="60"/>
      <c r="E14" s="59"/>
      <c r="F14" s="60"/>
      <c r="G14" s="59"/>
      <c r="H14" s="60"/>
      <c r="I14" s="59"/>
      <c r="J14" s="65"/>
      <c r="K14" s="10"/>
      <c r="L14" s="9"/>
      <c r="M14" s="35"/>
      <c r="N14" s="36"/>
    </row>
    <row r="15" spans="1:14" ht="18" customHeight="1" x14ac:dyDescent="0.2">
      <c r="B15" s="24"/>
      <c r="C15" s="57"/>
      <c r="D15" s="58"/>
      <c r="E15" s="57"/>
      <c r="F15" s="58"/>
      <c r="G15" s="57"/>
      <c r="H15" s="58"/>
      <c r="I15" s="66"/>
      <c r="J15" s="67"/>
      <c r="K15" s="16"/>
      <c r="L15" s="17"/>
      <c r="M15" s="37"/>
      <c r="N15" s="38"/>
    </row>
    <row r="16" spans="1:14" ht="18" customHeight="1" x14ac:dyDescent="0.2">
      <c r="B16" s="23"/>
      <c r="C16" s="59"/>
      <c r="D16" s="60"/>
      <c r="E16" s="59"/>
      <c r="F16" s="60"/>
      <c r="G16" s="59"/>
      <c r="H16" s="60"/>
      <c r="I16" s="90"/>
      <c r="J16" s="91"/>
      <c r="K16" s="33" t="s">
        <v>13</v>
      </c>
      <c r="L16" s="8"/>
      <c r="M16" s="85"/>
      <c r="N16" s="86"/>
    </row>
    <row r="17" spans="2:14" ht="18" customHeight="1" x14ac:dyDescent="0.2">
      <c r="B17" s="24"/>
      <c r="C17" s="57"/>
      <c r="D17" s="58"/>
      <c r="E17" s="57"/>
      <c r="F17" s="58"/>
      <c r="G17" s="57"/>
      <c r="H17" s="58"/>
      <c r="I17" s="66"/>
      <c r="J17" s="67"/>
      <c r="K17" s="34"/>
      <c r="L17" s="9"/>
      <c r="M17" s="35"/>
      <c r="N17" s="36"/>
    </row>
    <row r="18" spans="2:14" ht="18" customHeight="1" x14ac:dyDescent="0.2">
      <c r="B18" s="25"/>
      <c r="C18" s="63"/>
      <c r="D18" s="64"/>
      <c r="E18" s="63"/>
      <c r="F18" s="64"/>
      <c r="G18" s="63"/>
      <c r="H18" s="64"/>
      <c r="I18" s="63"/>
      <c r="J18" s="76"/>
      <c r="K18" s="34"/>
      <c r="L18" s="9"/>
      <c r="M18" s="35"/>
      <c r="N18" s="36"/>
    </row>
    <row r="19" spans="2:14" ht="18" customHeight="1" x14ac:dyDescent="0.2">
      <c r="B19" s="24"/>
      <c r="C19" s="57"/>
      <c r="D19" s="58"/>
      <c r="E19" s="57"/>
      <c r="F19" s="58"/>
      <c r="G19" s="57"/>
      <c r="H19" s="58"/>
      <c r="I19" s="66"/>
      <c r="J19" s="67"/>
      <c r="K19" s="10"/>
      <c r="L19" s="9"/>
      <c r="M19" s="35"/>
      <c r="N19" s="36"/>
    </row>
    <row r="20" spans="2:14" ht="18" customHeight="1" x14ac:dyDescent="0.2">
      <c r="B20" s="23"/>
      <c r="C20" s="59"/>
      <c r="D20" s="60"/>
      <c r="E20" s="59"/>
      <c r="F20" s="60"/>
      <c r="G20" s="59"/>
      <c r="H20" s="60"/>
      <c r="I20" s="59"/>
      <c r="J20" s="65"/>
      <c r="K20" s="10"/>
      <c r="L20" s="9"/>
      <c r="M20" s="35"/>
      <c r="N20" s="36"/>
    </row>
    <row r="21" spans="2:14" ht="18" customHeight="1" x14ac:dyDescent="0.2">
      <c r="B21" s="24"/>
      <c r="C21" s="57"/>
      <c r="D21" s="58"/>
      <c r="E21" s="57"/>
      <c r="F21" s="58"/>
      <c r="G21" s="57"/>
      <c r="H21" s="58"/>
      <c r="I21" s="104"/>
      <c r="J21" s="105"/>
      <c r="K21" s="16"/>
      <c r="L21" s="17"/>
      <c r="M21" s="37"/>
      <c r="N21" s="38"/>
    </row>
    <row r="22" spans="2:14" ht="18" customHeight="1" x14ac:dyDescent="0.2">
      <c r="B22" s="23"/>
      <c r="C22" s="59"/>
      <c r="D22" s="60"/>
      <c r="E22" s="59"/>
      <c r="F22" s="60"/>
      <c r="G22" s="59"/>
      <c r="H22" s="60"/>
      <c r="I22" s="59"/>
      <c r="J22" s="65"/>
      <c r="K22" s="33" t="s">
        <v>14</v>
      </c>
      <c r="L22" s="8"/>
      <c r="M22" s="85"/>
      <c r="N22" s="86"/>
    </row>
    <row r="23" spans="2:14" ht="18" customHeight="1" x14ac:dyDescent="0.2">
      <c r="B23" s="24"/>
      <c r="C23" s="57"/>
      <c r="D23" s="58"/>
      <c r="E23" s="57"/>
      <c r="F23" s="58"/>
      <c r="G23" s="57"/>
      <c r="H23" s="58"/>
      <c r="I23" s="66"/>
      <c r="J23" s="67"/>
      <c r="K23" s="34"/>
      <c r="L23" s="9"/>
      <c r="M23" s="35"/>
      <c r="N23" s="36"/>
    </row>
    <row r="24" spans="2:14" ht="18" customHeight="1" x14ac:dyDescent="0.2">
      <c r="B24" s="23"/>
      <c r="C24" s="59"/>
      <c r="D24" s="60"/>
      <c r="E24" s="59"/>
      <c r="F24" s="60"/>
      <c r="G24" s="59"/>
      <c r="H24" s="60"/>
      <c r="I24" s="59"/>
      <c r="J24" s="65"/>
      <c r="K24" s="34"/>
      <c r="L24" s="9"/>
      <c r="M24" s="35"/>
      <c r="N24" s="36"/>
    </row>
    <row r="25" spans="2:14" ht="18" customHeight="1" x14ac:dyDescent="0.2">
      <c r="B25" s="24"/>
      <c r="C25" s="57"/>
      <c r="D25" s="58"/>
      <c r="E25" s="57"/>
      <c r="F25" s="58"/>
      <c r="G25" s="57"/>
      <c r="H25" s="58"/>
      <c r="I25" s="66"/>
      <c r="J25" s="67"/>
      <c r="K25" s="34"/>
      <c r="L25" s="9"/>
      <c r="M25" s="35"/>
      <c r="N25" s="36"/>
    </row>
    <row r="26" spans="2:14" ht="18" customHeight="1" x14ac:dyDescent="0.2">
      <c r="B26" s="23"/>
      <c r="C26" s="59"/>
      <c r="D26" s="60"/>
      <c r="E26" s="59"/>
      <c r="F26" s="60"/>
      <c r="G26" s="59"/>
      <c r="H26" s="60"/>
      <c r="I26" s="59"/>
      <c r="J26" s="65"/>
      <c r="K26" s="10"/>
      <c r="L26" s="9"/>
      <c r="M26" s="35"/>
      <c r="N26" s="36"/>
    </row>
    <row r="27" spans="2:14" ht="18" customHeight="1" x14ac:dyDescent="0.2">
      <c r="B27" s="24"/>
      <c r="C27" s="57"/>
      <c r="D27" s="58"/>
      <c r="E27" s="57"/>
      <c r="F27" s="58"/>
      <c r="G27" s="57"/>
      <c r="H27" s="58"/>
      <c r="I27" s="66"/>
      <c r="J27" s="67"/>
      <c r="K27" s="16"/>
      <c r="L27" s="17"/>
      <c r="M27" s="37"/>
      <c r="N27" s="38"/>
    </row>
    <row r="28" spans="2:14" ht="18" customHeight="1" x14ac:dyDescent="0.2">
      <c r="B28" s="23"/>
      <c r="C28" s="59"/>
      <c r="D28" s="60"/>
      <c r="E28" s="59"/>
      <c r="F28" s="60"/>
      <c r="G28" s="59"/>
      <c r="H28" s="60"/>
      <c r="I28" s="59"/>
      <c r="J28" s="65"/>
      <c r="K28" s="41" t="s">
        <v>15</v>
      </c>
      <c r="L28" s="8"/>
      <c r="M28" s="85"/>
      <c r="N28" s="86"/>
    </row>
    <row r="29" spans="2:14" ht="18" customHeight="1" x14ac:dyDescent="0.2">
      <c r="B29" s="24"/>
      <c r="C29" s="57"/>
      <c r="D29" s="58"/>
      <c r="E29" s="57"/>
      <c r="F29" s="58"/>
      <c r="G29" s="57"/>
      <c r="H29" s="58"/>
      <c r="I29" s="57"/>
      <c r="J29" s="89"/>
      <c r="K29" s="42"/>
      <c r="L29" s="9"/>
      <c r="M29" s="35"/>
      <c r="N29" s="36"/>
    </row>
    <row r="30" spans="2:14" ht="18" customHeight="1" x14ac:dyDescent="0.2">
      <c r="B30" s="23"/>
      <c r="C30" s="59"/>
      <c r="D30" s="60"/>
      <c r="E30" s="59"/>
      <c r="F30" s="60"/>
      <c r="G30" s="59"/>
      <c r="H30" s="60"/>
      <c r="I30" s="87"/>
      <c r="J30" s="88"/>
      <c r="K30" s="42"/>
      <c r="L30" s="9"/>
      <c r="M30" s="35"/>
      <c r="N30" s="36"/>
    </row>
    <row r="31" spans="2:14" ht="18" customHeight="1" x14ac:dyDescent="0.2">
      <c r="B31" s="24"/>
      <c r="C31" s="57"/>
      <c r="D31" s="58"/>
      <c r="E31" s="57"/>
      <c r="F31" s="58"/>
      <c r="G31" s="57"/>
      <c r="H31" s="58"/>
      <c r="I31" s="57"/>
      <c r="J31" s="89"/>
      <c r="K31" s="18"/>
      <c r="L31" s="9"/>
      <c r="M31" s="35"/>
      <c r="N31" s="36"/>
    </row>
    <row r="32" spans="2:14" ht="18" customHeight="1" x14ac:dyDescent="0.2">
      <c r="B32" s="23"/>
      <c r="C32" s="59"/>
      <c r="D32" s="60"/>
      <c r="E32" s="59"/>
      <c r="F32" s="60"/>
      <c r="G32" s="59"/>
      <c r="H32" s="60"/>
      <c r="I32" s="90"/>
      <c r="J32" s="91"/>
      <c r="K32" s="18"/>
      <c r="L32" s="9"/>
      <c r="M32" s="35"/>
      <c r="N32" s="36"/>
    </row>
    <row r="33" spans="2:14" ht="18" customHeight="1" x14ac:dyDescent="0.2">
      <c r="B33" s="28"/>
      <c r="C33" s="100"/>
      <c r="D33" s="101"/>
      <c r="E33" s="100"/>
      <c r="F33" s="101"/>
      <c r="G33" s="100"/>
      <c r="H33" s="101"/>
      <c r="I33" s="102"/>
      <c r="J33" s="103"/>
      <c r="K33" s="20"/>
      <c r="L33" s="21"/>
      <c r="M33" s="83"/>
      <c r="N33" s="84"/>
    </row>
    <row r="34" spans="2:14" ht="16.5" customHeight="1" x14ac:dyDescent="0.2">
      <c r="B34" s="29"/>
      <c r="C34" s="29"/>
      <c r="D34" s="29"/>
      <c r="E34" s="29"/>
      <c r="F34" s="29"/>
      <c r="G34" s="29"/>
      <c r="H34" s="29"/>
      <c r="I34" s="29"/>
      <c r="J34" s="29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VLOOKUP(DAY(C4),DíasDeTareas,1,FALSE)=DAY(C4)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42A2AB2-C96A-4F1D-A896-B2666E5A28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37</vt:i4>
      </vt:variant>
    </vt:vector>
  </HeadingPairs>
  <TitlesOfParts>
    <vt:vector size="49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Año_Calendario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  <vt:lpstr>Abril!DíasDeTareas</vt:lpstr>
      <vt:lpstr>Agosto!DíasDeTareas</vt:lpstr>
      <vt:lpstr>Diciembre!DíasDeTareas</vt:lpstr>
      <vt:lpstr>Febrero!DíasDeTareas</vt:lpstr>
      <vt:lpstr>Julio!DíasDeTareas</vt:lpstr>
      <vt:lpstr>Junio!DíasDeTareas</vt:lpstr>
      <vt:lpstr>Marzo!DíasDeTareas</vt:lpstr>
      <vt:lpstr>Mayo!DíasDeTareas</vt:lpstr>
      <vt:lpstr>Noviembre!DíasDeTareas</vt:lpstr>
      <vt:lpstr>Octubre!DíasDeTareas</vt:lpstr>
      <vt:lpstr>Septiembre!DíasDeTareas</vt:lpstr>
      <vt:lpstr>DíasDeTareas</vt:lpstr>
      <vt:lpstr>Abril!TablaFechasImportantes</vt:lpstr>
      <vt:lpstr>Agosto!TablaFechasImportantes</vt:lpstr>
      <vt:lpstr>Diciembre!TablaFechasImportantes</vt:lpstr>
      <vt:lpstr>Febrero!TablaFechasImportantes</vt:lpstr>
      <vt:lpstr>Julio!TablaFechasImportantes</vt:lpstr>
      <vt:lpstr>Junio!TablaFechasImportantes</vt:lpstr>
      <vt:lpstr>Marzo!TablaFechasImportantes</vt:lpstr>
      <vt:lpstr>Mayo!TablaFechasImportantes</vt:lpstr>
      <vt:lpstr>Noviembre!TablaFechasImportantes</vt:lpstr>
      <vt:lpstr>Octubre!TablaFechasImportantes</vt:lpstr>
      <vt:lpstr>Septiembre!TablaFechasImportantes</vt:lpstr>
      <vt:lpstr>TablaFechasImportantes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cp:lastPrinted>2016-01-07T17:23:19Z</cp:lastPrinted>
  <dcterms:created xsi:type="dcterms:W3CDTF">2015-11-13T18:10:35Z</dcterms:created>
  <dcterms:modified xsi:type="dcterms:W3CDTF">2016-05-24T18:42:59Z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TC025512749991</vt:lpwstr>
  </property>
</Properties>
</file>